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y.pryadekha\Desktop\"/>
    </mc:Choice>
  </mc:AlternateContent>
  <bookViews>
    <workbookView xWindow="0" yWindow="0" windowWidth="20730" windowHeight="9735" tabRatio="487"/>
  </bookViews>
  <sheets>
    <sheet name="МКД" sheetId="23" r:id="rId1"/>
    <sheet name="Лист1" sheetId="30" r:id="rId2"/>
  </sheets>
  <definedNames>
    <definedName name="_xlnm._FilterDatabase" localSheetId="0" hidden="1">МКД!$A$4:$Y$2403</definedName>
    <definedName name="_xlnm.Print_Titles" localSheetId="0">МКД!$1:$4</definedName>
    <definedName name="_xlnm.Print_Area" localSheetId="0">МКД!$A$1:$M$2409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06" i="23" l="1"/>
  <c r="K507" i="23" l="1"/>
  <c r="J938" i="23" l="1"/>
  <c r="J946" i="23"/>
  <c r="K222" i="23" l="1"/>
  <c r="J222" i="23" l="1"/>
  <c r="J507" i="23"/>
  <c r="J696" i="23"/>
  <c r="K696" i="23"/>
  <c r="K1166" i="23" l="1"/>
  <c r="K1163" i="23"/>
  <c r="K1160" i="23"/>
  <c r="K1154" i="23"/>
  <c r="K1149" i="23"/>
  <c r="K1141" i="23"/>
  <c r="K1138" i="23"/>
  <c r="K1129" i="23"/>
  <c r="K1126" i="23"/>
  <c r="K1121" i="23"/>
  <c r="K1116" i="23"/>
  <c r="K1105" i="23"/>
  <c r="K1102" i="23"/>
  <c r="K1099" i="23"/>
  <c r="K1096" i="23"/>
  <c r="K1093" i="23"/>
  <c r="K1090" i="23"/>
  <c r="K2204" i="23" l="1"/>
  <c r="J2204" i="23"/>
  <c r="G2204" i="23"/>
  <c r="D2204" i="23"/>
  <c r="D2004" i="23" l="1"/>
  <c r="D1935" i="23" l="1"/>
  <c r="G134" i="23" l="1"/>
  <c r="N765" i="23" l="1"/>
  <c r="J924" i="23" l="1"/>
  <c r="J974" i="23"/>
  <c r="M1494" i="23" l="1"/>
  <c r="J1996" i="23" l="1"/>
  <c r="J1991" i="23"/>
  <c r="J1983" i="23"/>
  <c r="J1980" i="23"/>
  <c r="J1967" i="23"/>
  <c r="J1957" i="23"/>
  <c r="K604" i="23" l="1"/>
  <c r="K776" i="23" l="1"/>
  <c r="J776" i="23"/>
  <c r="J2103" i="23" l="1"/>
  <c r="N2154" i="23"/>
  <c r="J2262" i="23"/>
  <c r="J2242" i="23"/>
  <c r="J2235" i="23"/>
  <c r="J2231" i="23"/>
  <c r="G64" i="30" l="1"/>
  <c r="N63" i="30"/>
  <c r="K63" i="30"/>
  <c r="J63" i="30"/>
  <c r="G63" i="30"/>
  <c r="D63" i="30"/>
  <c r="N59" i="30"/>
  <c r="K59" i="30"/>
  <c r="J59" i="30"/>
  <c r="G59" i="30"/>
  <c r="D59" i="30"/>
  <c r="N55" i="30"/>
  <c r="K55" i="30"/>
  <c r="J55" i="30"/>
  <c r="G55" i="30"/>
  <c r="D55" i="30"/>
  <c r="N51" i="30"/>
  <c r="K51" i="30"/>
  <c r="J51" i="30"/>
  <c r="G51" i="30"/>
  <c r="D51" i="30"/>
  <c r="N43" i="30"/>
  <c r="K43" i="30"/>
  <c r="J43" i="30"/>
  <c r="G43" i="30"/>
  <c r="D43" i="30"/>
  <c r="N35" i="30"/>
  <c r="K35" i="30"/>
  <c r="J35" i="30"/>
  <c r="G35" i="30"/>
  <c r="D35" i="30"/>
  <c r="N27" i="30"/>
  <c r="K27" i="30"/>
  <c r="J27" i="30"/>
  <c r="G27" i="30"/>
  <c r="D27" i="30"/>
  <c r="N19" i="30"/>
  <c r="K19" i="30"/>
  <c r="J19" i="30"/>
  <c r="G19" i="30"/>
  <c r="D19" i="30"/>
  <c r="N11" i="30"/>
  <c r="K11" i="30"/>
  <c r="J11" i="30"/>
  <c r="G11" i="30"/>
  <c r="D11" i="30"/>
  <c r="D70" i="30" l="1"/>
  <c r="N70" i="30"/>
  <c r="G70" i="30"/>
  <c r="K70" i="30"/>
  <c r="J70" i="30"/>
  <c r="J2004" i="23"/>
  <c r="J1923" i="23"/>
  <c r="J2258" i="23" l="1"/>
  <c r="J604" i="23" l="1"/>
  <c r="G918" i="23" l="1"/>
  <c r="G921" i="23"/>
  <c r="G924" i="23"/>
  <c r="G931" i="23"/>
  <c r="G939" i="23"/>
  <c r="G947" i="23"/>
  <c r="G954" i="23"/>
  <c r="G962" i="23"/>
  <c r="G965" i="23"/>
  <c r="G971" i="23"/>
  <c r="G974" i="23"/>
  <c r="G982" i="23"/>
  <c r="G988" i="23"/>
  <c r="G994" i="23"/>
  <c r="G1001" i="23"/>
  <c r="G1003" i="23"/>
  <c r="G1004" i="23"/>
  <c r="G776" i="23"/>
  <c r="G654" i="23"/>
  <c r="G331" i="23"/>
  <c r="G334" i="23"/>
  <c r="G338" i="23"/>
  <c r="G346" i="23"/>
  <c r="G362" i="23"/>
  <c r="G375" i="23"/>
  <c r="G378" i="23"/>
  <c r="G382" i="23"/>
  <c r="G385" i="23"/>
  <c r="G388" i="23"/>
  <c r="G391" i="23"/>
  <c r="G395" i="23"/>
  <c r="G407" i="23"/>
  <c r="G455" i="23"/>
  <c r="G468" i="23"/>
  <c r="G477" i="23"/>
  <c r="G481" i="23"/>
  <c r="G489" i="23"/>
  <c r="G493" i="23"/>
  <c r="G500" i="23"/>
  <c r="G503" i="23"/>
  <c r="G507" i="23"/>
  <c r="G115" i="23"/>
  <c r="G109" i="23"/>
  <c r="G103" i="23"/>
  <c r="G100" i="23"/>
  <c r="G97" i="23"/>
  <c r="G91" i="23"/>
  <c r="G85" i="23"/>
  <c r="G76" i="23"/>
  <c r="G45" i="23"/>
  <c r="G40" i="23"/>
  <c r="G37" i="23"/>
  <c r="G34" i="23"/>
  <c r="G31" i="23"/>
  <c r="G28" i="23"/>
  <c r="G25" i="23"/>
  <c r="G19" i="23"/>
  <c r="G14" i="23"/>
  <c r="G11" i="23"/>
  <c r="G121" i="23"/>
  <c r="G127" i="23"/>
  <c r="G133" i="23"/>
  <c r="J1039" i="23" l="1"/>
  <c r="J1042" i="23"/>
  <c r="J1046" i="23"/>
  <c r="J1050" i="23"/>
  <c r="J1053" i="23"/>
  <c r="J1059" i="23"/>
  <c r="J1062" i="23"/>
  <c r="J1065" i="23"/>
  <c r="J962" i="23" l="1"/>
  <c r="J451" i="23"/>
  <c r="J2248" i="23" l="1"/>
  <c r="J1917" i="23"/>
  <c r="J2238" i="23" l="1"/>
  <c r="K654" i="23" l="1"/>
  <c r="G1066" i="23" l="1"/>
  <c r="G670" i="23"/>
  <c r="G605" i="23"/>
  <c r="G1583" i="23" l="1"/>
  <c r="G1721" i="23" l="1"/>
  <c r="G575" i="23" l="1"/>
  <c r="G2302" i="23" l="1"/>
  <c r="G1776" i="23" l="1"/>
  <c r="G1336" i="23"/>
  <c r="G901" i="23"/>
  <c r="G316" i="23"/>
  <c r="G222" i="23"/>
  <c r="G696" i="23"/>
  <c r="G1447" i="23" l="1"/>
  <c r="K1720" i="23" l="1"/>
  <c r="J1720" i="23"/>
  <c r="G1720" i="23"/>
  <c r="K2034" i="23" l="1"/>
  <c r="J2034" i="23"/>
  <c r="G2034" i="23"/>
  <c r="D2034" i="23"/>
  <c r="D2154" i="23"/>
  <c r="G2154" i="23"/>
  <c r="K2154" i="23"/>
  <c r="J2154" i="23"/>
  <c r="E602" i="23" l="1"/>
  <c r="F602" i="23"/>
  <c r="G602" i="23"/>
  <c r="H602" i="23"/>
  <c r="I602" i="23"/>
  <c r="J602" i="23"/>
  <c r="K602" i="23"/>
  <c r="L602" i="23"/>
  <c r="M602" i="23"/>
  <c r="N602" i="23"/>
  <c r="O602" i="23"/>
  <c r="D602" i="23"/>
  <c r="J2271" i="23" l="1"/>
  <c r="J2279" i="23"/>
  <c r="J2018" i="23"/>
  <c r="J2120" i="23"/>
  <c r="J2289" i="23"/>
  <c r="N604" i="23" l="1"/>
  <c r="J2085" i="23" l="1"/>
  <c r="J2079" i="23"/>
  <c r="J2076" i="23"/>
  <c r="J2021" i="23"/>
  <c r="J2063" i="23"/>
  <c r="J2060" i="23"/>
  <c r="J2057" i="23"/>
  <c r="J2051" i="23"/>
  <c r="J2047" i="23"/>
  <c r="J2040" i="23"/>
  <c r="J2037" i="23"/>
  <c r="J2032" i="23"/>
  <c r="J2028" i="23"/>
  <c r="J1890" i="23"/>
  <c r="J2066" i="23"/>
  <c r="J1899" i="23"/>
  <c r="J2254" i="23"/>
  <c r="J2251" i="23"/>
  <c r="J2183" i="23"/>
  <c r="J2024" i="23"/>
  <c r="J2010" i="23"/>
  <c r="K218" i="23"/>
  <c r="J218" i="23"/>
  <c r="J2116" i="23" l="1"/>
  <c r="J2292" i="23"/>
  <c r="J2295" i="23"/>
  <c r="J654" i="23" l="1"/>
  <c r="M1492" i="23"/>
  <c r="J2209" i="23"/>
  <c r="J2192" i="23"/>
  <c r="N1746" i="23" l="1"/>
  <c r="N97" i="23"/>
  <c r="N91" i="23"/>
  <c r="N1757" i="23" l="1"/>
  <c r="N776" i="23"/>
  <c r="N654" i="23"/>
  <c r="N1941" i="23" l="1"/>
  <c r="D2097" i="23" l="1"/>
  <c r="D2116" i="23"/>
  <c r="D2145" i="23"/>
  <c r="D2152" i="23"/>
  <c r="D1835" i="23"/>
  <c r="D1831" i="23"/>
  <c r="D1810" i="23"/>
  <c r="D1806" i="23"/>
  <c r="D1803" i="23"/>
  <c r="D1800" i="23"/>
  <c r="D1796" i="23"/>
  <c r="D2282" i="23"/>
  <c r="D2286" i="23"/>
  <c r="D2289" i="23"/>
  <c r="D2292" i="23"/>
  <c r="D2295" i="23"/>
  <c r="D1792" i="23"/>
  <c r="D1789" i="23"/>
  <c r="D2279" i="23"/>
  <c r="D2271" i="23"/>
  <c r="D2265" i="23"/>
  <c r="D2262" i="23"/>
  <c r="D2258" i="23"/>
  <c r="D2242" i="23"/>
  <c r="D2238" i="23"/>
  <c r="D2235" i="23"/>
  <c r="D2231" i="23"/>
  <c r="D2221" i="23"/>
  <c r="D2218" i="23"/>
  <c r="D2215" i="23"/>
  <c r="D2209" i="23"/>
  <c r="D2202" i="23"/>
  <c r="D2196" i="23"/>
  <c r="D2192" i="23"/>
  <c r="D2186" i="23"/>
  <c r="D2183" i="23"/>
  <c r="D2180" i="23"/>
  <c r="D2171" i="23"/>
  <c r="D2167" i="23"/>
  <c r="D2149" i="23"/>
  <c r="D2127" i="23"/>
  <c r="D2120" i="23"/>
  <c r="D2107" i="23"/>
  <c r="D2103" i="23"/>
  <c r="D2094" i="23"/>
  <c r="D2091" i="23"/>
  <c r="D2088" i="23"/>
  <c r="D2082" i="23"/>
  <c r="D2072" i="23"/>
  <c r="D2076" i="23"/>
  <c r="D2068" i="23"/>
  <c r="D2066" i="23"/>
  <c r="D2063" i="23"/>
  <c r="D2060" i="23"/>
  <c r="D2057" i="23"/>
  <c r="D2051" i="23"/>
  <c r="D2047" i="23"/>
  <c r="D2040" i="23"/>
  <c r="D2037" i="23"/>
  <c r="D2028" i="23"/>
  <c r="D2032" i="23"/>
  <c r="D2024" i="23"/>
  <c r="D2021" i="23"/>
  <c r="D2018" i="23"/>
  <c r="D2010" i="23"/>
  <c r="D2007" i="23"/>
  <c r="D1996" i="23"/>
  <c r="D1991" i="23"/>
  <c r="D1980" i="23"/>
  <c r="D1967" i="23"/>
  <c r="D1957" i="23"/>
  <c r="D1953" i="23"/>
  <c r="D1949" i="23"/>
  <c r="D1945" i="23"/>
  <c r="D1939" i="23"/>
  <c r="D1917" i="23"/>
  <c r="D1913" i="23"/>
  <c r="D1906" i="23"/>
  <c r="D1902" i="23"/>
  <c r="D1899" i="23"/>
  <c r="D1890" i="23"/>
  <c r="D1886" i="23"/>
  <c r="D1882" i="23"/>
  <c r="D1879" i="23"/>
  <c r="D1876" i="23"/>
  <c r="D1873" i="23"/>
  <c r="D1870" i="23"/>
  <c r="D1850" i="23"/>
  <c r="D1838" i="23"/>
  <c r="D1771" i="23"/>
  <c r="D1775" i="23"/>
  <c r="D1765" i="23"/>
  <c r="D1761" i="23"/>
  <c r="D1757" i="23"/>
  <c r="D1751" i="23"/>
  <c r="D1746" i="23"/>
  <c r="D1740" i="23"/>
  <c r="D1720" i="23"/>
  <c r="N1580" i="23"/>
  <c r="D1580" i="23"/>
  <c r="K1582" i="23"/>
  <c r="J1582" i="23"/>
  <c r="G1582" i="23"/>
  <c r="D1582" i="23"/>
  <c r="D1320" i="23"/>
  <c r="D1250" i="23"/>
  <c r="D1246" i="23"/>
  <c r="D1239" i="23"/>
  <c r="D1235" i="23"/>
  <c r="D1231" i="23"/>
  <c r="D1217" i="23"/>
  <c r="D1213" i="23"/>
  <c r="D1209" i="23"/>
  <c r="D1205" i="23"/>
  <c r="D1192" i="23"/>
  <c r="D1185" i="23"/>
  <c r="D1116" i="23"/>
  <c r="D1166" i="23"/>
  <c r="D1163" i="23"/>
  <c r="D1160" i="23"/>
  <c r="D1157" i="23"/>
  <c r="D1154" i="23"/>
  <c r="D1149" i="23"/>
  <c r="D1146" i="23"/>
  <c r="D1141" i="23"/>
  <c r="D1138" i="23"/>
  <c r="D1135" i="23"/>
  <c r="D1132" i="23"/>
  <c r="D1129" i="23"/>
  <c r="D1126" i="23"/>
  <c r="D1121" i="23"/>
  <c r="D1105" i="23"/>
  <c r="D1102" i="23"/>
  <c r="D1099" i="23"/>
  <c r="D1096" i="23"/>
  <c r="D1093" i="23"/>
  <c r="D1090" i="23"/>
  <c r="D1085" i="23"/>
  <c r="D1056" i="23" l="1"/>
  <c r="D1046" i="23"/>
  <c r="D776" i="23" l="1"/>
  <c r="D654" i="23" l="1"/>
  <c r="D604" i="23" l="1"/>
  <c r="D527" i="23"/>
  <c r="D358" i="23"/>
  <c r="D409" i="23"/>
  <c r="D431" i="23"/>
  <c r="D433" i="23"/>
  <c r="D438" i="23"/>
  <c r="D462" i="23"/>
  <c r="D489" i="23"/>
  <c r="D496" i="23"/>
  <c r="D301" i="23" l="1"/>
  <c r="K273" i="23"/>
  <c r="D218" i="23" l="1"/>
  <c r="J85" i="23" l="1"/>
  <c r="J91" i="23"/>
  <c r="J45" i="23" l="1"/>
  <c r="J59" i="23"/>
  <c r="K97" i="23"/>
  <c r="J97" i="23"/>
  <c r="K91" i="23" l="1"/>
  <c r="G239" i="23" l="1"/>
  <c r="G241" i="23" s="1"/>
  <c r="G2067" i="23"/>
  <c r="G2068" i="23" s="1"/>
  <c r="K2068" i="23"/>
  <c r="D91" i="23" l="1"/>
  <c r="D45" i="23" l="1"/>
  <c r="J2196" i="23" l="1"/>
  <c r="J2301" i="23"/>
  <c r="J2202" i="23"/>
  <c r="K1001" i="23"/>
  <c r="J1001" i="23"/>
  <c r="J2163" i="23" l="1"/>
  <c r="K2088" i="23"/>
  <c r="J600" i="23"/>
  <c r="J596" i="23"/>
  <c r="J592" i="23"/>
  <c r="J588" i="23"/>
  <c r="J585" i="23"/>
  <c r="J611" i="23" l="1"/>
  <c r="N315" i="23"/>
  <c r="N218" i="23"/>
  <c r="J2088" i="23" l="1"/>
  <c r="J1920" i="23"/>
  <c r="J1902" i="23"/>
  <c r="J2171" i="23" l="1"/>
  <c r="J2167" i="23"/>
  <c r="J2160" i="23"/>
  <c r="J2157" i="23"/>
  <c r="J2152" i="23"/>
  <c r="J2145" i="23"/>
  <c r="J2127" i="23"/>
  <c r="J2107" i="23"/>
  <c r="J2097" i="23"/>
  <c r="J2094" i="23"/>
  <c r="J2091" i="23"/>
  <c r="J1953" i="23"/>
  <c r="J1949" i="23"/>
  <c r="J1945" i="23"/>
  <c r="J1939" i="23"/>
  <c r="J1935" i="23"/>
  <c r="J1913" i="23"/>
  <c r="J1893" i="23"/>
  <c r="J1886" i="23"/>
  <c r="J1876" i="23"/>
  <c r="J1873" i="23"/>
  <c r="J2180" i="23"/>
  <c r="J2082" i="23"/>
  <c r="J1870" i="23"/>
  <c r="J1850" i="23"/>
  <c r="J1835" i="23"/>
  <c r="J1831" i="23"/>
  <c r="J1819" i="23"/>
  <c r="J1803" i="23"/>
  <c r="J1800" i="23"/>
  <c r="J1796" i="23"/>
  <c r="J1847" i="23"/>
  <c r="J1838" i="23"/>
  <c r="K768" i="23" l="1"/>
  <c r="J768" i="23"/>
  <c r="G768" i="23"/>
  <c r="D768" i="23"/>
  <c r="K762" i="23"/>
  <c r="J762" i="23"/>
  <c r="G762" i="23"/>
  <c r="D762" i="23"/>
  <c r="K870" i="23"/>
  <c r="J2218" i="23" l="1"/>
  <c r="J2265" i="23"/>
  <c r="K2265" i="23"/>
  <c r="G218" i="23" l="1"/>
  <c r="J1882" i="23" l="1"/>
  <c r="J870" i="23"/>
  <c r="J1825" i="23" l="1"/>
  <c r="J2227" i="23" l="1"/>
  <c r="J2224" i="23"/>
  <c r="N45" i="23" l="1"/>
  <c r="J2282" i="23" l="1"/>
  <c r="J2186" i="23"/>
  <c r="J1976" i="23" l="1"/>
  <c r="J1973" i="23"/>
  <c r="J1879" i="23"/>
  <c r="K45" i="23" l="1"/>
  <c r="J2221" i="23" l="1"/>
  <c r="J1999" i="23"/>
  <c r="J1867" i="23" l="1"/>
  <c r="J1970" i="23"/>
  <c r="J2139" i="23" l="1"/>
  <c r="J2136" i="23"/>
  <c r="J1909" i="23"/>
  <c r="J2007" i="23"/>
  <c r="J1636" i="23"/>
  <c r="J1609" i="23"/>
  <c r="J1612" i="23"/>
  <c r="J1619" i="23"/>
  <c r="J1622" i="23"/>
  <c r="J1639" i="23"/>
  <c r="J1648" i="23"/>
  <c r="J1674" i="23"/>
  <c r="J1685" i="23"/>
  <c r="J1696" i="23"/>
  <c r="J1701" i="23"/>
  <c r="J1705" i="23"/>
  <c r="J1709" i="23"/>
  <c r="J1631" i="23"/>
  <c r="J1634" i="23"/>
  <c r="J1651" i="23"/>
  <c r="J1666" i="23"/>
  <c r="K1666" i="23"/>
  <c r="J1669" i="23"/>
  <c r="J1677" i="23"/>
  <c r="J1680" i="23"/>
  <c r="J1688" i="23"/>
  <c r="J1691" i="23"/>
  <c r="J1715" i="23"/>
  <c r="J1712" i="23"/>
  <c r="J1625" i="23"/>
  <c r="J1628" i="23"/>
  <c r="J1645" i="23"/>
  <c r="J1654" i="23"/>
  <c r="J1732" i="23" l="1"/>
  <c r="J1775" i="23"/>
  <c r="J1771" i="23"/>
  <c r="J1765" i="23"/>
  <c r="J1761" i="23"/>
  <c r="J1757" i="23"/>
  <c r="J1751" i="23"/>
  <c r="J1746" i="23"/>
  <c r="J1740" i="23"/>
  <c r="J1056" i="23"/>
  <c r="J1036" i="23"/>
  <c r="J1033" i="23"/>
  <c r="J1030" i="23"/>
  <c r="J1025" i="23"/>
  <c r="J1021" i="23"/>
  <c r="J1017" i="23"/>
  <c r="J574" i="23"/>
  <c r="J570" i="23"/>
  <c r="J566" i="23"/>
  <c r="J555" i="23"/>
  <c r="J562" i="23"/>
  <c r="J548" i="23"/>
  <c r="J541" i="23"/>
  <c r="J534" i="23"/>
  <c r="J527" i="23"/>
  <c r="J1785" i="23" l="1"/>
  <c r="J1075" i="23"/>
  <c r="J581" i="23"/>
  <c r="G1017" i="23"/>
  <c r="M452" i="23" l="1"/>
  <c r="M456" i="23"/>
  <c r="J2245" i="23" l="1"/>
  <c r="J2149" i="23"/>
  <c r="M729" i="23" l="1"/>
  <c r="M2283" i="23" l="1"/>
  <c r="M2272" i="23"/>
  <c r="M2211" i="23"/>
  <c r="M2187" i="23"/>
  <c r="M2175" i="23"/>
  <c r="M2172" i="23"/>
  <c r="M2131" i="23"/>
  <c r="M2128" i="23"/>
  <c r="M2111" i="23"/>
  <c r="M2108" i="23"/>
  <c r="M2070" i="23"/>
  <c r="M2052" i="23"/>
  <c r="M2041" i="23"/>
  <c r="M1984" i="23"/>
  <c r="M1961" i="23"/>
  <c r="M1958" i="23"/>
  <c r="M1930" i="23"/>
  <c r="M1927" i="23"/>
  <c r="M1924" i="23"/>
  <c r="M1861" i="23"/>
  <c r="M1857" i="23"/>
  <c r="M1854" i="23"/>
  <c r="M1851" i="23"/>
  <c r="M1842" i="23"/>
  <c r="M1839" i="23"/>
  <c r="M1826" i="23"/>
  <c r="M1820" i="23"/>
  <c r="M1814" i="23"/>
  <c r="M1811" i="23"/>
  <c r="M1807" i="23"/>
  <c r="M1804" i="23"/>
  <c r="M1790" i="23"/>
  <c r="M1787" i="23"/>
  <c r="M1579" i="23"/>
  <c r="M1537" i="23"/>
  <c r="M1519" i="23"/>
  <c r="M1515" i="23"/>
  <c r="M1507" i="23"/>
  <c r="M1511" i="23"/>
  <c r="M1510" i="23"/>
  <c r="M1509" i="23"/>
  <c r="M1508" i="23"/>
  <c r="M1500" i="23"/>
  <c r="M1503" i="23"/>
  <c r="M1502" i="23"/>
  <c r="M1501" i="23"/>
  <c r="M1493" i="23"/>
  <c r="M1491" i="23"/>
  <c r="M1490" i="23"/>
  <c r="M1489" i="23"/>
  <c r="M1517" i="23"/>
  <c r="M1513" i="23"/>
  <c r="M1505" i="23"/>
  <c r="M1498" i="23"/>
  <c r="M1495" i="23"/>
  <c r="M1475" i="23"/>
  <c r="M1254" i="23"/>
  <c r="M1252" i="23"/>
  <c r="M1244" i="23"/>
  <c r="M1240" i="23"/>
  <c r="M1222" i="23"/>
  <c r="M1220" i="23"/>
  <c r="M1218" i="23"/>
  <c r="M1199" i="23"/>
  <c r="M1176" i="23"/>
  <c r="M1171" i="23"/>
  <c r="M1248" i="23"/>
  <c r="M1237" i="23"/>
  <c r="M1233" i="23"/>
  <c r="M1215" i="23"/>
  <c r="M1211" i="23"/>
  <c r="M1207" i="23"/>
  <c r="M1203" i="23"/>
  <c r="M1200" i="23"/>
  <c r="M1197" i="23"/>
  <c r="M1194" i="23"/>
  <c r="M1190" i="23"/>
  <c r="M1187" i="23"/>
  <c r="M1183" i="23"/>
  <c r="M1177" i="23"/>
  <c r="M1150" i="23"/>
  <c r="M1142" i="23"/>
  <c r="M1164" i="23"/>
  <c r="M1122" i="23"/>
  <c r="M1117" i="23"/>
  <c r="M1112" i="23"/>
  <c r="M1110" i="23"/>
  <c r="M1108" i="23"/>
  <c r="M1106" i="23"/>
  <c r="M1086" i="23"/>
  <c r="M1081" i="23"/>
  <c r="M1079" i="23"/>
  <c r="M1077" i="23"/>
  <c r="M1002" i="23"/>
  <c r="M1000" i="23"/>
  <c r="M992" i="23"/>
  <c r="M990" i="23"/>
  <c r="M989" i="23"/>
  <c r="M986" i="23"/>
  <c r="M993" i="23"/>
  <c r="M987" i="23"/>
  <c r="M981" i="23"/>
  <c r="M970" i="23"/>
  <c r="M984" i="23"/>
  <c r="M983" i="23"/>
  <c r="M963" i="23"/>
  <c r="M959" i="23"/>
  <c r="M950" i="23"/>
  <c r="M946" i="23"/>
  <c r="M938" i="23"/>
  <c r="M919" i="23"/>
  <c r="M916" i="23"/>
  <c r="M895" i="23"/>
  <c r="M896" i="23"/>
  <c r="M894" i="23"/>
  <c r="M882" i="23"/>
  <c r="M881" i="23"/>
  <c r="M879" i="23"/>
  <c r="M874" i="23"/>
  <c r="M873" i="23"/>
  <c r="M871" i="23"/>
  <c r="M865" i="23"/>
  <c r="M864" i="23"/>
  <c r="M862" i="23"/>
  <c r="M856" i="23"/>
  <c r="M855" i="23"/>
  <c r="M853" i="23"/>
  <c r="M848" i="23"/>
  <c r="M847" i="23"/>
  <c r="M845" i="23"/>
  <c r="M840" i="23"/>
  <c r="M839" i="23"/>
  <c r="M832" i="23"/>
  <c r="M831" i="23"/>
  <c r="M822" i="23"/>
  <c r="M823" i="23"/>
  <c r="M824" i="23"/>
  <c r="M821" i="23"/>
  <c r="M812" i="23"/>
  <c r="M813" i="23"/>
  <c r="M814" i="23"/>
  <c r="M811" i="23"/>
  <c r="M802" i="23"/>
  <c r="M803" i="23"/>
  <c r="M804" i="23"/>
  <c r="M801" i="23"/>
  <c r="M755" i="23"/>
  <c r="M754" i="23"/>
  <c r="M747" i="23"/>
  <c r="M746" i="23"/>
  <c r="M744" i="23"/>
  <c r="M739" i="23"/>
  <c r="M738" i="23"/>
  <c r="M736" i="23"/>
  <c r="M731" i="23"/>
  <c r="M724" i="23"/>
  <c r="M723" i="23"/>
  <c r="M715" i="23"/>
  <c r="M714" i="23"/>
  <c r="M706" i="23"/>
  <c r="M705" i="23"/>
  <c r="M703" i="23"/>
  <c r="M683" i="23"/>
  <c r="M667" i="23"/>
  <c r="M658" i="23"/>
  <c r="M655" i="23"/>
  <c r="M636" i="23"/>
  <c r="M627" i="23"/>
  <c r="M625" i="23"/>
  <c r="M613" i="23"/>
  <c r="M446" i="23"/>
  <c r="M430" i="23"/>
  <c r="M504" i="23"/>
  <c r="M501" i="23"/>
  <c r="M497" i="23"/>
  <c r="M494" i="23"/>
  <c r="M490" i="23"/>
  <c r="M488" i="23"/>
  <c r="M485" i="23"/>
  <c r="M482" i="23"/>
  <c r="M478" i="23"/>
  <c r="M471" i="23"/>
  <c r="M465" i="23"/>
  <c r="M461" i="23"/>
  <c r="M458" i="23"/>
  <c r="M445" i="23"/>
  <c r="M442" i="23"/>
  <c r="M437" i="23"/>
  <c r="M434" i="23"/>
  <c r="M432" i="23"/>
  <c r="M429" i="23"/>
  <c r="M428" i="23"/>
  <c r="M425" i="23"/>
  <c r="M408" i="23"/>
  <c r="M402" i="23"/>
  <c r="M396" i="23"/>
  <c r="M392" i="23"/>
  <c r="M379" i="23"/>
  <c r="M376" i="23"/>
  <c r="M373" i="23"/>
  <c r="M360" i="23"/>
  <c r="M359" i="23"/>
  <c r="M357" i="23"/>
  <c r="M353" i="23"/>
  <c r="M350" i="23"/>
  <c r="M347" i="23"/>
  <c r="M344" i="23"/>
  <c r="M343" i="23"/>
  <c r="M342" i="23"/>
  <c r="M339" i="23"/>
  <c r="M336" i="23"/>
  <c r="M335" i="23"/>
  <c r="M332" i="23"/>
  <c r="M328" i="23"/>
  <c r="M329" i="23"/>
  <c r="M327" i="23"/>
  <c r="M238" i="23"/>
  <c r="M214" i="23"/>
  <c r="M211" i="23"/>
  <c r="M202" i="23"/>
  <c r="M199" i="23"/>
  <c r="M187" i="23"/>
  <c r="M181" i="23"/>
  <c r="M66" i="23"/>
  <c r="J1853" i="23" l="1"/>
  <c r="J1402" i="23" l="1"/>
  <c r="N2301" i="23"/>
  <c r="N2286" i="23"/>
  <c r="N2279" i="23"/>
  <c r="N2271" i="23"/>
  <c r="N2215" i="23"/>
  <c r="N2209" i="23"/>
  <c r="N2202" i="23"/>
  <c r="N2196" i="23"/>
  <c r="N2127" i="23"/>
  <c r="N2120" i="23"/>
  <c r="N2103" i="23"/>
  <c r="N2072" i="23"/>
  <c r="N2018" i="23"/>
  <c r="N2004" i="23"/>
  <c r="N2295" i="23"/>
  <c r="N2292" i="23"/>
  <c r="N2289" i="23"/>
  <c r="N2282" i="23"/>
  <c r="N2274" i="23"/>
  <c r="N2265" i="23"/>
  <c r="N2262" i="23"/>
  <c r="N2258" i="23"/>
  <c r="N2254" i="23"/>
  <c r="N2251" i="23"/>
  <c r="N2248" i="23"/>
  <c r="N2245" i="23"/>
  <c r="N2242" i="23"/>
  <c r="N2238" i="23"/>
  <c r="N2235" i="23"/>
  <c r="N2231" i="23"/>
  <c r="N2227" i="23"/>
  <c r="N2224" i="23"/>
  <c r="N2221" i="23"/>
  <c r="N2218" i="23"/>
  <c r="N2192" i="23"/>
  <c r="N2189" i="23"/>
  <c r="N2186" i="23"/>
  <c r="N2183" i="23"/>
  <c r="N2180" i="23"/>
  <c r="N2177" i="23"/>
  <c r="N2174" i="23"/>
  <c r="N2171" i="23"/>
  <c r="N2167" i="23"/>
  <c r="N2163" i="23"/>
  <c r="N2160" i="23"/>
  <c r="N2157" i="23"/>
  <c r="N2152" i="23"/>
  <c r="N2149" i="23"/>
  <c r="N2145" i="23"/>
  <c r="N2142" i="23"/>
  <c r="N2139" i="23"/>
  <c r="N2136" i="23"/>
  <c r="N2133" i="23"/>
  <c r="N2130" i="23"/>
  <c r="N2116" i="23"/>
  <c r="N2113" i="23"/>
  <c r="N2110" i="23"/>
  <c r="N2107" i="23"/>
  <c r="N2097" i="23"/>
  <c r="N2094" i="23"/>
  <c r="N2091" i="23"/>
  <c r="N2088" i="23"/>
  <c r="N2085" i="23"/>
  <c r="N2082" i="23"/>
  <c r="N2079" i="23"/>
  <c r="N2076" i="23"/>
  <c r="N2066" i="23"/>
  <c r="N2063" i="23"/>
  <c r="N2060" i="23"/>
  <c r="N2057" i="23"/>
  <c r="N2054" i="23"/>
  <c r="N2051" i="23"/>
  <c r="N2047" i="23"/>
  <c r="N2043" i="23"/>
  <c r="N2040" i="23"/>
  <c r="N2037" i="23"/>
  <c r="N2032" i="23"/>
  <c r="N2034" i="23" s="1"/>
  <c r="N2028" i="23"/>
  <c r="N2024" i="23"/>
  <c r="N2021" i="23"/>
  <c r="N2010" i="23"/>
  <c r="N2007" i="23"/>
  <c r="N1999" i="23"/>
  <c r="N1996" i="23"/>
  <c r="N1991" i="23"/>
  <c r="N1986" i="23"/>
  <c r="N1983" i="23"/>
  <c r="N1980" i="23"/>
  <c r="N1976" i="23"/>
  <c r="N1973" i="23"/>
  <c r="N1970" i="23"/>
  <c r="N1967" i="23"/>
  <c r="N1963" i="23"/>
  <c r="N1960" i="23"/>
  <c r="N1957" i="23"/>
  <c r="N1953" i="23"/>
  <c r="N1949" i="23"/>
  <c r="N1945" i="23"/>
  <c r="N1939" i="23"/>
  <c r="N1935" i="23"/>
  <c r="N1932" i="23"/>
  <c r="N1929" i="23"/>
  <c r="N1926" i="23"/>
  <c r="N1923" i="23"/>
  <c r="N1920" i="23"/>
  <c r="N1917" i="23"/>
  <c r="N1913" i="23"/>
  <c r="N1909" i="23"/>
  <c r="N1906" i="23"/>
  <c r="N1902" i="23"/>
  <c r="N1899" i="23"/>
  <c r="N1864" i="23"/>
  <c r="N1860" i="23"/>
  <c r="N1810" i="23" l="1"/>
  <c r="N1893" i="23"/>
  <c r="N1890" i="23"/>
  <c r="N1886" i="23"/>
  <c r="N1882" i="23"/>
  <c r="N1879" i="23"/>
  <c r="N1876" i="23"/>
  <c r="N1873" i="23"/>
  <c r="N1870" i="23"/>
  <c r="N1867" i="23"/>
  <c r="N1856" i="23"/>
  <c r="N1853" i="23"/>
  <c r="N1850" i="23"/>
  <c r="N1847" i="23"/>
  <c r="N1844" i="23"/>
  <c r="N1841" i="23"/>
  <c r="N1838" i="23"/>
  <c r="N1835" i="23"/>
  <c r="N1831" i="23"/>
  <c r="N1828" i="23"/>
  <c r="N1825" i="23"/>
  <c r="N1822" i="23"/>
  <c r="N1819" i="23"/>
  <c r="N1816" i="23"/>
  <c r="N1813" i="23"/>
  <c r="N1806" i="23"/>
  <c r="N1803" i="23"/>
  <c r="N1800" i="23"/>
  <c r="N1796" i="23"/>
  <c r="N1792" i="23"/>
  <c r="N1789" i="23"/>
  <c r="N1775" i="23"/>
  <c r="N1771" i="23"/>
  <c r="N1767" i="23"/>
  <c r="N1765" i="23"/>
  <c r="N1761" i="23"/>
  <c r="N1751" i="23"/>
  <c r="N1740" i="23"/>
  <c r="N1720" i="23"/>
  <c r="N1709" i="23"/>
  <c r="N1705" i="23"/>
  <c r="N1701" i="23"/>
  <c r="N1696" i="23"/>
  <c r="N1685" i="23"/>
  <c r="N1674" i="23"/>
  <c r="N1619" i="23"/>
  <c r="N1715" i="23"/>
  <c r="N1712" i="23"/>
  <c r="N1691" i="23"/>
  <c r="N1688" i="23"/>
  <c r="N1680" i="23"/>
  <c r="N1677" i="23"/>
  <c r="N1669" i="23"/>
  <c r="N1666" i="23"/>
  <c r="N1663" i="23"/>
  <c r="N1660" i="23"/>
  <c r="N1657" i="23"/>
  <c r="N1654" i="23"/>
  <c r="N1651" i="23"/>
  <c r="N1648" i="23"/>
  <c r="N1645" i="23"/>
  <c r="N1642" i="23"/>
  <c r="N1639" i="23"/>
  <c r="N1636" i="23"/>
  <c r="N1634" i="23"/>
  <c r="N1631" i="23"/>
  <c r="N1628" i="23"/>
  <c r="N1625" i="23"/>
  <c r="N1622" i="23"/>
  <c r="N1612" i="23"/>
  <c r="N1609" i="23"/>
  <c r="N1540" i="23"/>
  <c r="N1532" i="23"/>
  <c r="N1522" i="23"/>
  <c r="N1518" i="23"/>
  <c r="N1514" i="23"/>
  <c r="N1506" i="23"/>
  <c r="N1499" i="23"/>
  <c r="N1496" i="23"/>
  <c r="N1575" i="23"/>
  <c r="N1572" i="23"/>
  <c r="N1569" i="23"/>
  <c r="N1564" i="23"/>
  <c r="N1561" i="23"/>
  <c r="N1558" i="23"/>
  <c r="N1555" i="23"/>
  <c r="N1552" i="23"/>
  <c r="N1549" i="23"/>
  <c r="N1546" i="23"/>
  <c r="N1543" i="23"/>
  <c r="N1525" i="23"/>
  <c r="N1488" i="23"/>
  <c r="N1485" i="23"/>
  <c r="N1482" i="23"/>
  <c r="N1479" i="23"/>
  <c r="N1476" i="23"/>
  <c r="N1473" i="23"/>
  <c r="N1470" i="23"/>
  <c r="N1467" i="23"/>
  <c r="N1464" i="23"/>
  <c r="N1427" i="23"/>
  <c r="N1440" i="23"/>
  <c r="N1435" i="23"/>
  <c r="N1417" i="23"/>
  <c r="N1409" i="23"/>
  <c r="N1399" i="23"/>
  <c r="N1392" i="23"/>
  <c r="N1384" i="23"/>
  <c r="N1376" i="23"/>
  <c r="N1368" i="23"/>
  <c r="N1446" i="23"/>
  <c r="N1443" i="23"/>
  <c r="N1430" i="23"/>
  <c r="N1420" i="23"/>
  <c r="N1412" i="23"/>
  <c r="N1402" i="23"/>
  <c r="N1361" i="23"/>
  <c r="N1358" i="23"/>
  <c r="N1355" i="23"/>
  <c r="N1352" i="23"/>
  <c r="N1349" i="23"/>
  <c r="N1332" i="23"/>
  <c r="N1320" i="23"/>
  <c r="N1304" i="23"/>
  <c r="N1293" i="23"/>
  <c r="N1276" i="23"/>
  <c r="N1272" i="23"/>
  <c r="N1335" i="23"/>
  <c r="N1326" i="23"/>
  <c r="N1313" i="23"/>
  <c r="N1310" i="23"/>
  <c r="N1307" i="23"/>
  <c r="N1302" i="23"/>
  <c r="N1299" i="23"/>
  <c r="N1296" i="23"/>
  <c r="N1288" i="23"/>
  <c r="N1285" i="23"/>
  <c r="N1282" i="23"/>
  <c r="N1279" i="23"/>
  <c r="N1265" i="23"/>
  <c r="N1262" i="23"/>
  <c r="N2403" i="23" l="1"/>
  <c r="N1732" i="23"/>
  <c r="N1460" i="23"/>
  <c r="N1785" i="23"/>
  <c r="N1605" i="23"/>
  <c r="N1345" i="23"/>
  <c r="J2133" i="23"/>
  <c r="J1828" i="23"/>
  <c r="J1822" i="23"/>
  <c r="J1816" i="23"/>
  <c r="J1813" i="23"/>
  <c r="J1792" i="23"/>
  <c r="J1789" i="23"/>
  <c r="J1446" i="23" l="1"/>
  <c r="J1430" i="23"/>
  <c r="J1420" i="23"/>
  <c r="J1412" i="23"/>
  <c r="J1361" i="23"/>
  <c r="J1358" i="23"/>
  <c r="J1355" i="23"/>
  <c r="J1352" i="23"/>
  <c r="J1349" i="23"/>
  <c r="N1256" i="23"/>
  <c r="N1253" i="23"/>
  <c r="N1250" i="23"/>
  <c r="N1246" i="23"/>
  <c r="N1242" i="23"/>
  <c r="N1239" i="23"/>
  <c r="N1235" i="23"/>
  <c r="N1231" i="23"/>
  <c r="N1228" i="23"/>
  <c r="N1226" i="23"/>
  <c r="N1224" i="23"/>
  <c r="N1221" i="23"/>
  <c r="N1219" i="23"/>
  <c r="N1217" i="23"/>
  <c r="N1213" i="23"/>
  <c r="N1209" i="23"/>
  <c r="N1205" i="23"/>
  <c r="N1201" i="23"/>
  <c r="N1198" i="23"/>
  <c r="N1195" i="23"/>
  <c r="N1192" i="23"/>
  <c r="N1188" i="23"/>
  <c r="N1185" i="23"/>
  <c r="N1181" i="23"/>
  <c r="N1178" i="23"/>
  <c r="N1175" i="23"/>
  <c r="N1172" i="23"/>
  <c r="N1151" i="23"/>
  <c r="N1143" i="23"/>
  <c r="N1166" i="23"/>
  <c r="N1163" i="23"/>
  <c r="N1160" i="23"/>
  <c r="N1157" i="23"/>
  <c r="N1154" i="23"/>
  <c r="N1149" i="23"/>
  <c r="N1146" i="23"/>
  <c r="N1141" i="23"/>
  <c r="N1138" i="23"/>
  <c r="N1135" i="23"/>
  <c r="N1132" i="23"/>
  <c r="N1129" i="23"/>
  <c r="N1116" i="23"/>
  <c r="N1123" i="23"/>
  <c r="N1126" i="23"/>
  <c r="N1121" i="23"/>
  <c r="N1118" i="23"/>
  <c r="N1113" i="23"/>
  <c r="N1111" i="23"/>
  <c r="N1109" i="23"/>
  <c r="N1107" i="23"/>
  <c r="N1105" i="23"/>
  <c r="N1102" i="23"/>
  <c r="N1099" i="23"/>
  <c r="N1096" i="23"/>
  <c r="N1093" i="23"/>
  <c r="N1090" i="23"/>
  <c r="N1087" i="23"/>
  <c r="N1085" i="23"/>
  <c r="N1082" i="23"/>
  <c r="N1080" i="23"/>
  <c r="N1078" i="23"/>
  <c r="N1168" i="23" l="1"/>
  <c r="N1258" i="23"/>
  <c r="N1065" i="23"/>
  <c r="N1062" i="23"/>
  <c r="N1059" i="23"/>
  <c r="N1056" i="23"/>
  <c r="N1053" i="23"/>
  <c r="N1050" i="23"/>
  <c r="N1042" i="23"/>
  <c r="N1039" i="23"/>
  <c r="N1036" i="23"/>
  <c r="N1033" i="23"/>
  <c r="N1025" i="23"/>
  <c r="N1046" i="23"/>
  <c r="N1030" i="23"/>
  <c r="N1021" i="23"/>
  <c r="N1017" i="23"/>
  <c r="N1003" i="23"/>
  <c r="N1001" i="23"/>
  <c r="N994" i="23"/>
  <c r="N988" i="23"/>
  <c r="N982" i="23"/>
  <c r="N974" i="23"/>
  <c r="N971" i="23"/>
  <c r="N965" i="23"/>
  <c r="N962" i="23"/>
  <c r="N954" i="23"/>
  <c r="N947" i="23"/>
  <c r="N939" i="23"/>
  <c r="N931" i="23"/>
  <c r="N924" i="23"/>
  <c r="N921" i="23"/>
  <c r="N918" i="23"/>
  <c r="N900" i="23"/>
  <c r="N891" i="23"/>
  <c r="N887" i="23"/>
  <c r="N878" i="23"/>
  <c r="N870" i="23"/>
  <c r="N861" i="23"/>
  <c r="N852" i="23"/>
  <c r="N844" i="23"/>
  <c r="N836" i="23"/>
  <c r="N828" i="23"/>
  <c r="N818" i="23"/>
  <c r="N808" i="23"/>
  <c r="N798" i="23"/>
  <c r="N787" i="23"/>
  <c r="N796" i="23"/>
  <c r="N793" i="23"/>
  <c r="N790" i="23"/>
  <c r="N785" i="23"/>
  <c r="N782" i="23"/>
  <c r="N779" i="23"/>
  <c r="N774" i="23"/>
  <c r="N771" i="23"/>
  <c r="N768" i="23"/>
  <c r="N762" i="23"/>
  <c r="N759" i="23"/>
  <c r="N751" i="23"/>
  <c r="N743" i="23"/>
  <c r="N735" i="23"/>
  <c r="N732" i="23"/>
  <c r="N730" i="23"/>
  <c r="N728" i="23"/>
  <c r="N720" i="23"/>
  <c r="N711" i="23"/>
  <c r="N695" i="23"/>
  <c r="N692" i="23"/>
  <c r="N690" i="23"/>
  <c r="N688" i="23"/>
  <c r="N685" i="23"/>
  <c r="N682" i="23"/>
  <c r="N680" i="23"/>
  <c r="N669" i="23"/>
  <c r="N666" i="23"/>
  <c r="N663" i="23"/>
  <c r="N660" i="23"/>
  <c r="N657" i="23"/>
  <c r="N652" i="23"/>
  <c r="N649" i="23"/>
  <c r="N646" i="23"/>
  <c r="N642" i="23"/>
  <c r="N639" i="23"/>
  <c r="N635" i="23"/>
  <c r="N632" i="23"/>
  <c r="N629" i="23"/>
  <c r="N624" i="23"/>
  <c r="N621" i="23"/>
  <c r="N618" i="23"/>
  <c r="N615" i="23"/>
  <c r="N592" i="23"/>
  <c r="N600" i="23"/>
  <c r="N596" i="23"/>
  <c r="N588" i="23"/>
  <c r="N585" i="23"/>
  <c r="N574" i="23"/>
  <c r="N570" i="23"/>
  <c r="N566" i="23"/>
  <c r="N562" i="23"/>
  <c r="N555" i="23"/>
  <c r="N548" i="23"/>
  <c r="N541" i="23"/>
  <c r="N534" i="23"/>
  <c r="N527" i="23"/>
  <c r="N611" i="23" l="1"/>
  <c r="N1075" i="23"/>
  <c r="N701" i="23"/>
  <c r="N1012" i="23"/>
  <c r="N581" i="23"/>
  <c r="N914" i="23"/>
  <c r="N677" i="23"/>
  <c r="N500" i="23"/>
  <c r="N493" i="23"/>
  <c r="N489" i="23"/>
  <c r="N506" i="23"/>
  <c r="N503" i="23"/>
  <c r="N496" i="23"/>
  <c r="N487" i="23"/>
  <c r="N484" i="23"/>
  <c r="N481" i="23"/>
  <c r="N477" i="23"/>
  <c r="N474" i="23"/>
  <c r="N468" i="23"/>
  <c r="N462" i="23"/>
  <c r="N460" i="23"/>
  <c r="N457" i="23"/>
  <c r="N455" i="23"/>
  <c r="N451" i="23"/>
  <c r="N447" i="23"/>
  <c r="N444" i="23"/>
  <c r="N441" i="23" l="1"/>
  <c r="N438" i="23"/>
  <c r="N436" i="23"/>
  <c r="N433" i="23"/>
  <c r="N431" i="23"/>
  <c r="N427" i="23"/>
  <c r="N424" i="23"/>
  <c r="N421" i="23"/>
  <c r="N418" i="23"/>
  <c r="N415" i="23"/>
  <c r="N412" i="23"/>
  <c r="N409" i="23"/>
  <c r="N407" i="23"/>
  <c r="N401" i="23"/>
  <c r="N398" i="23"/>
  <c r="N395" i="23"/>
  <c r="N391" i="23"/>
  <c r="N388" i="23"/>
  <c r="N385" i="23"/>
  <c r="N382" i="23"/>
  <c r="N378" i="23"/>
  <c r="N375" i="23"/>
  <c r="N372" i="23"/>
  <c r="N370" i="23"/>
  <c r="N367" i="23"/>
  <c r="N362" i="23"/>
  <c r="N358" i="23"/>
  <c r="N356" i="23"/>
  <c r="N352" i="23"/>
  <c r="N349" i="23"/>
  <c r="N346" i="23"/>
  <c r="N341" i="23"/>
  <c r="N338" i="23"/>
  <c r="N334" i="23"/>
  <c r="N331" i="23"/>
  <c r="N519" i="23" l="1"/>
  <c r="N308" i="23"/>
  <c r="N273" i="23"/>
  <c r="N300" i="23"/>
  <c r="N297" i="23"/>
  <c r="N294" i="23"/>
  <c r="N291" i="23"/>
  <c r="N288" i="23"/>
  <c r="N285" i="23"/>
  <c r="N282" i="23"/>
  <c r="N279" i="23"/>
  <c r="N276" i="23"/>
  <c r="N271" i="23"/>
  <c r="N268" i="23"/>
  <c r="N265" i="23"/>
  <c r="N262" i="23"/>
  <c r="N259" i="23"/>
  <c r="N256" i="23"/>
  <c r="N251" i="23"/>
  <c r="N248" i="23"/>
  <c r="N245" i="23"/>
  <c r="N239" i="23"/>
  <c r="N241" i="23" s="1"/>
  <c r="N325" i="23" l="1"/>
  <c r="J2177" i="23"/>
  <c r="J2174" i="23"/>
  <c r="J965" i="23"/>
  <c r="J921" i="23"/>
  <c r="J918" i="23"/>
  <c r="N183" i="23" l="1"/>
  <c r="N221" i="23"/>
  <c r="N216" i="23"/>
  <c r="N213" i="23"/>
  <c r="N210" i="23"/>
  <c r="N207" i="23"/>
  <c r="N204" i="23"/>
  <c r="N201" i="23"/>
  <c r="N198" i="23"/>
  <c r="N195" i="23"/>
  <c r="N192" i="23"/>
  <c r="N189" i="23"/>
  <c r="N186" i="23"/>
  <c r="N180" i="23"/>
  <c r="N177" i="23"/>
  <c r="N173" i="23"/>
  <c r="N170" i="23"/>
  <c r="N167" i="23"/>
  <c r="N164" i="23"/>
  <c r="N161" i="23"/>
  <c r="N158" i="23"/>
  <c r="N155" i="23"/>
  <c r="N152" i="23"/>
  <c r="N133" i="23"/>
  <c r="N127" i="23"/>
  <c r="N121" i="23"/>
  <c r="N115" i="23"/>
  <c r="N109" i="23"/>
  <c r="N103" i="23"/>
  <c r="N100" i="23"/>
  <c r="N85" i="23"/>
  <c r="N79" i="23"/>
  <c r="N76" i="23"/>
  <c r="N73" i="23"/>
  <c r="N70" i="23"/>
  <c r="N67" i="23"/>
  <c r="N59" i="23"/>
  <c r="N51" i="23"/>
  <c r="N48" i="23"/>
  <c r="N40" i="23"/>
  <c r="N37" i="23"/>
  <c r="N34" i="23"/>
  <c r="N31" i="23"/>
  <c r="N28" i="23"/>
  <c r="N25" i="23"/>
  <c r="N19" i="23"/>
  <c r="N14" i="23"/>
  <c r="N11" i="23"/>
  <c r="N231" i="23" l="1"/>
  <c r="N145" i="23"/>
  <c r="J2054" i="23"/>
  <c r="J1963" i="23"/>
  <c r="J1960" i="23"/>
  <c r="N4" i="23" l="1"/>
  <c r="G1226" i="23"/>
  <c r="J1806" i="23" l="1"/>
  <c r="J1335" i="23"/>
  <c r="J1320" i="23"/>
  <c r="J1313" i="23"/>
  <c r="J1310" i="23"/>
  <c r="J1307" i="23"/>
  <c r="J1285" i="23"/>
  <c r="J1282" i="23"/>
  <c r="J1279" i="23"/>
  <c r="J1276" i="23"/>
  <c r="J1265" i="23"/>
  <c r="J1262" i="23"/>
  <c r="J273" i="23"/>
  <c r="J216" i="23" l="1"/>
  <c r="J183" i="23"/>
  <c r="G1557" i="23"/>
  <c r="J1986" i="23" l="1"/>
  <c r="J1932" i="23"/>
  <c r="J1864" i="23"/>
  <c r="J1506" i="23"/>
  <c r="J1514" i="23"/>
  <c r="J1253" i="23"/>
  <c r="J1246" i="23"/>
  <c r="J2286" i="23"/>
  <c r="J2130" i="23"/>
  <c r="J2113" i="23"/>
  <c r="J2110" i="23"/>
  <c r="J1929" i="23"/>
  <c r="J1926" i="23"/>
  <c r="J1856" i="23"/>
  <c r="J891" i="23"/>
  <c r="J796" i="23"/>
  <c r="J793" i="23"/>
  <c r="J790" i="23"/>
  <c r="J785" i="23"/>
  <c r="J782" i="23"/>
  <c r="J779" i="23"/>
  <c r="J774" i="23"/>
  <c r="J771" i="23"/>
  <c r="J765" i="23"/>
  <c r="J735" i="23"/>
  <c r="K735" i="23"/>
  <c r="J2043" i="23" l="1"/>
  <c r="J2189" i="23" l="1"/>
  <c r="G1925" i="23" l="1"/>
  <c r="K1580" i="23" l="1"/>
  <c r="J1580" i="23"/>
  <c r="G1580" i="23"/>
  <c r="J2274" i="23" l="1"/>
  <c r="J2215" i="23"/>
  <c r="J2142" i="23"/>
  <c r="J2072" i="23"/>
  <c r="J1860" i="23"/>
  <c r="J1844" i="23"/>
  <c r="J1841" i="23"/>
  <c r="J1810" i="23"/>
  <c r="J1566" i="23"/>
  <c r="J1575" i="23"/>
  <c r="J1572" i="23"/>
  <c r="J1569" i="23"/>
  <c r="J1564" i="23"/>
  <c r="J1561" i="23"/>
  <c r="J1558" i="23"/>
  <c r="J1555" i="23"/>
  <c r="J1552" i="23"/>
  <c r="J1549" i="23"/>
  <c r="J1546" i="23"/>
  <c r="J1543" i="23"/>
  <c r="J1540" i="23"/>
  <c r="J1532" i="23"/>
  <c r="J1525" i="23"/>
  <c r="J1522" i="23"/>
  <c r="J1518" i="23"/>
  <c r="J1499" i="23"/>
  <c r="J1496" i="23"/>
  <c r="J1488" i="23"/>
  <c r="J1485" i="23"/>
  <c r="J1482" i="23"/>
  <c r="J1479" i="23"/>
  <c r="J1476" i="23"/>
  <c r="J1473" i="23"/>
  <c r="J1470" i="23"/>
  <c r="J1467" i="23"/>
  <c r="J1464" i="23"/>
  <c r="J2403" i="23" l="1"/>
  <c r="J1605" i="23"/>
  <c r="J1443" i="23"/>
  <c r="J1440" i="23"/>
  <c r="J1435" i="23"/>
  <c r="J1427" i="23"/>
  <c r="J1417" i="23"/>
  <c r="J1409" i="23"/>
  <c r="J1399" i="23"/>
  <c r="J1392" i="23"/>
  <c r="J1384" i="23"/>
  <c r="J1376" i="23"/>
  <c r="J1368" i="23"/>
  <c r="J1332" i="23"/>
  <c r="J1326" i="23"/>
  <c r="J1304" i="23"/>
  <c r="J1302" i="23"/>
  <c r="J1299" i="23"/>
  <c r="J1296" i="23"/>
  <c r="J1293" i="23"/>
  <c r="J1288" i="23"/>
  <c r="J1272" i="23"/>
  <c r="J1345" i="23" l="1"/>
  <c r="J1460" i="23"/>
  <c r="J1231" i="23"/>
  <c r="J1228" i="23"/>
  <c r="J1226" i="23"/>
  <c r="J1221" i="23"/>
  <c r="J1219" i="23"/>
  <c r="J1175" i="23"/>
  <c r="J1172" i="23"/>
  <c r="J1256" i="23"/>
  <c r="J1250" i="23"/>
  <c r="J1242" i="23"/>
  <c r="J1239" i="23"/>
  <c r="J1235" i="23"/>
  <c r="J1224" i="23"/>
  <c r="J1217" i="23"/>
  <c r="J1213" i="23"/>
  <c r="J1209" i="23" l="1"/>
  <c r="J1205" i="23"/>
  <c r="J1201" i="23"/>
  <c r="J1198" i="23"/>
  <c r="J1195" i="23"/>
  <c r="J1192" i="23"/>
  <c r="J1188" i="23"/>
  <c r="J1185" i="23"/>
  <c r="J1181" i="23"/>
  <c r="J1178" i="23"/>
  <c r="J1151" i="23"/>
  <c r="J1143" i="23"/>
  <c r="J1118" i="23"/>
  <c r="J1113" i="23"/>
  <c r="J1111" i="23"/>
  <c r="J1109" i="23"/>
  <c r="J1107" i="23"/>
  <c r="J1082" i="23"/>
  <c r="J1080" i="23"/>
  <c r="J1078" i="23"/>
  <c r="J1166" i="23"/>
  <c r="J1163" i="23"/>
  <c r="J1160" i="23"/>
  <c r="J1157" i="23"/>
  <c r="J1154" i="23"/>
  <c r="J1149" i="23"/>
  <c r="J1146" i="23"/>
  <c r="J1141" i="23"/>
  <c r="J1138" i="23"/>
  <c r="J1135" i="23"/>
  <c r="J1132" i="23"/>
  <c r="J1129" i="23"/>
  <c r="J1126" i="23"/>
  <c r="J1123" i="23"/>
  <c r="J1121" i="23"/>
  <c r="J1116" i="23"/>
  <c r="J1105" i="23"/>
  <c r="J1102" i="23"/>
  <c r="J1099" i="23"/>
  <c r="J1096" i="23"/>
  <c r="J1093" i="23"/>
  <c r="J1090" i="23"/>
  <c r="J1087" i="23"/>
  <c r="J1085" i="23"/>
  <c r="J994" i="23"/>
  <c r="J988" i="23"/>
  <c r="J982" i="23"/>
  <c r="J971" i="23"/>
  <c r="J1003" i="23"/>
  <c r="J954" i="23"/>
  <c r="J947" i="23"/>
  <c r="J939" i="23"/>
  <c r="J931" i="23"/>
  <c r="J1258" i="23" l="1"/>
  <c r="J1012" i="23"/>
  <c r="J1168" i="23"/>
  <c r="J900" i="23"/>
  <c r="J887" i="23"/>
  <c r="J878" i="23"/>
  <c r="J861" i="23"/>
  <c r="J852" i="23"/>
  <c r="J844" i="23"/>
  <c r="J836" i="23"/>
  <c r="J828" i="23"/>
  <c r="J818" i="23"/>
  <c r="J808" i="23"/>
  <c r="J798" i="23"/>
  <c r="J787" i="23"/>
  <c r="J759" i="23"/>
  <c r="J751" i="23"/>
  <c r="J743" i="23"/>
  <c r="J732" i="23"/>
  <c r="J730" i="23"/>
  <c r="J728" i="23"/>
  <c r="J720" i="23"/>
  <c r="J711" i="23"/>
  <c r="J695" i="23"/>
  <c r="J692" i="23"/>
  <c r="J690" i="23"/>
  <c r="J682" i="23"/>
  <c r="J680" i="23"/>
  <c r="J688" i="23"/>
  <c r="J685" i="23"/>
  <c r="J669" i="23"/>
  <c r="J666" i="23"/>
  <c r="J663" i="23"/>
  <c r="J660" i="23"/>
  <c r="J657" i="23"/>
  <c r="J652" i="23"/>
  <c r="J649" i="23"/>
  <c r="J646" i="23"/>
  <c r="J642" i="23"/>
  <c r="J639" i="23"/>
  <c r="J635" i="23"/>
  <c r="J632" i="23"/>
  <c r="J629" i="23"/>
  <c r="J624" i="23"/>
  <c r="J621" i="23"/>
  <c r="J618" i="23"/>
  <c r="J615" i="23"/>
  <c r="J506" i="23"/>
  <c r="J503" i="23"/>
  <c r="J500" i="23"/>
  <c r="J496" i="23"/>
  <c r="J493" i="23"/>
  <c r="J489" i="23"/>
  <c r="J487" i="23"/>
  <c r="J484" i="23"/>
  <c r="J481" i="23"/>
  <c r="J477" i="23"/>
  <c r="J474" i="23"/>
  <c r="J468" i="23"/>
  <c r="J462" i="23"/>
  <c r="J460" i="23"/>
  <c r="J457" i="23"/>
  <c r="J455" i="23"/>
  <c r="J447" i="23"/>
  <c r="J444" i="23"/>
  <c r="J441" i="23"/>
  <c r="J438" i="23"/>
  <c r="J436" i="23"/>
  <c r="J433" i="23"/>
  <c r="J431" i="23"/>
  <c r="J427" i="23"/>
  <c r="J424" i="23"/>
  <c r="J421" i="23"/>
  <c r="J418" i="23"/>
  <c r="J415" i="23"/>
  <c r="J412" i="23"/>
  <c r="J409" i="23"/>
  <c r="J407" i="23"/>
  <c r="J401" i="23"/>
  <c r="J398" i="23"/>
  <c r="J395" i="23"/>
  <c r="J391" i="23"/>
  <c r="J388" i="23"/>
  <c r="J385" i="23"/>
  <c r="J382" i="23"/>
  <c r="J378" i="23"/>
  <c r="J375" i="23"/>
  <c r="J372" i="23"/>
  <c r="J370" i="23"/>
  <c r="J367" i="23"/>
  <c r="J362" i="23"/>
  <c r="J358" i="23"/>
  <c r="J701" i="23" l="1"/>
  <c r="J914" i="23"/>
  <c r="J677" i="23"/>
  <c r="J356" i="23"/>
  <c r="J352" i="23"/>
  <c r="J349" i="23"/>
  <c r="J346" i="23"/>
  <c r="K346" i="23"/>
  <c r="J341" i="23"/>
  <c r="J338" i="23"/>
  <c r="J334" i="23"/>
  <c r="J331" i="23"/>
  <c r="J315" i="23"/>
  <c r="J308" i="23"/>
  <c r="J302" i="23"/>
  <c r="J300" i="23"/>
  <c r="J297" i="23"/>
  <c r="J294" i="23"/>
  <c r="J291" i="23"/>
  <c r="J288" i="23"/>
  <c r="J285" i="23"/>
  <c r="J282" i="23"/>
  <c r="J279" i="23"/>
  <c r="J276" i="23"/>
  <c r="J271" i="23"/>
  <c r="J268" i="23"/>
  <c r="J265" i="23"/>
  <c r="J262" i="23"/>
  <c r="J259" i="23"/>
  <c r="J256" i="23"/>
  <c r="J251" i="23"/>
  <c r="J248" i="23"/>
  <c r="J245" i="23"/>
  <c r="J519" i="23" l="1"/>
  <c r="J325" i="23"/>
  <c r="J239" i="23"/>
  <c r="J241" i="23" s="1"/>
  <c r="J221" i="23"/>
  <c r="J213" i="23"/>
  <c r="J210" i="23"/>
  <c r="K210" i="23"/>
  <c r="J207" i="23"/>
  <c r="K207" i="23"/>
  <c r="J204" i="23"/>
  <c r="K204" i="23"/>
  <c r="J201" i="23"/>
  <c r="K201" i="23"/>
  <c r="J198" i="23"/>
  <c r="K198" i="23"/>
  <c r="J195" i="23"/>
  <c r="K195" i="23"/>
  <c r="J192" i="23"/>
  <c r="K192" i="23"/>
  <c r="J189" i="23"/>
  <c r="K189" i="23"/>
  <c r="J186" i="23"/>
  <c r="K186" i="23"/>
  <c r="K183" i="23"/>
  <c r="J180" i="23"/>
  <c r="K180" i="23"/>
  <c r="J177" i="23"/>
  <c r="K177" i="23"/>
  <c r="J173" i="23"/>
  <c r="K173" i="23"/>
  <c r="J170" i="23"/>
  <c r="K170" i="23"/>
  <c r="J167" i="23"/>
  <c r="K167" i="23"/>
  <c r="J164" i="23"/>
  <c r="K164" i="23"/>
  <c r="J161" i="23"/>
  <c r="K161" i="23"/>
  <c r="J158" i="23"/>
  <c r="K158" i="23"/>
  <c r="J155" i="23"/>
  <c r="K155" i="23"/>
  <c r="J152" i="23"/>
  <c r="K152" i="23"/>
  <c r="J231" i="23" l="1"/>
  <c r="J133" i="23"/>
  <c r="K133" i="23"/>
  <c r="J127" i="23"/>
  <c r="K127" i="23"/>
  <c r="J121" i="23"/>
  <c r="K121" i="23"/>
  <c r="J115" i="23"/>
  <c r="K115" i="23"/>
  <c r="J109" i="23"/>
  <c r="K109" i="23"/>
  <c r="J103" i="23"/>
  <c r="K103" i="23"/>
  <c r="J100" i="23"/>
  <c r="K100" i="23"/>
  <c r="K85" i="23"/>
  <c r="J79" i="23"/>
  <c r="K79" i="23"/>
  <c r="J76" i="23"/>
  <c r="K76" i="23"/>
  <c r="J73" i="23"/>
  <c r="K73" i="23"/>
  <c r="J70" i="23"/>
  <c r="K70" i="23"/>
  <c r="J67" i="23"/>
  <c r="K67" i="23"/>
  <c r="K59" i="23"/>
  <c r="J51" i="23"/>
  <c r="K51" i="23"/>
  <c r="J48" i="23"/>
  <c r="K48" i="23"/>
  <c r="J40" i="23"/>
  <c r="K40" i="23"/>
  <c r="J37" i="23"/>
  <c r="K37" i="23"/>
  <c r="J34" i="23"/>
  <c r="K34" i="23"/>
  <c r="J31" i="23"/>
  <c r="K31" i="23"/>
  <c r="J28" i="23"/>
  <c r="K28" i="23"/>
  <c r="J25" i="23"/>
  <c r="K25" i="23"/>
  <c r="J19" i="23"/>
  <c r="K19" i="23"/>
  <c r="J14" i="23"/>
  <c r="K14" i="23"/>
  <c r="J11" i="23"/>
  <c r="J145" i="23" l="1"/>
  <c r="J4" i="23" s="1"/>
  <c r="K1003" i="23" l="1"/>
  <c r="D1001" i="23" l="1"/>
  <c r="D1003" i="23"/>
  <c r="K407" i="23" l="1"/>
  <c r="K338" i="23" l="1"/>
  <c r="G1809" i="23" l="1"/>
  <c r="G1852" i="23"/>
  <c r="G1849" i="23"/>
  <c r="G1846" i="23"/>
  <c r="G1837" i="23"/>
  <c r="G1833" i="23"/>
  <c r="G1835" i="23" s="1"/>
  <c r="G1830" i="23"/>
  <c r="G1827" i="23"/>
  <c r="G1824" i="23"/>
  <c r="G1821" i="23"/>
  <c r="G1818" i="23"/>
  <c r="G1815" i="23"/>
  <c r="G1812" i="23"/>
  <c r="G1805" i="23"/>
  <c r="G1802" i="23"/>
  <c r="G1798" i="23"/>
  <c r="G1794" i="23"/>
  <c r="G1791" i="23"/>
  <c r="G1788" i="23"/>
  <c r="G1866" i="23"/>
  <c r="G1869" i="23"/>
  <c r="G1872" i="23"/>
  <c r="G1878" i="23"/>
  <c r="G1881" i="23"/>
  <c r="G1884" i="23"/>
  <c r="G1892" i="23"/>
  <c r="G1901" i="23"/>
  <c r="G1904" i="23"/>
  <c r="G1911" i="23"/>
  <c r="G1928" i="23"/>
  <c r="G1931" i="23"/>
  <c r="G1934" i="23"/>
  <c r="G1937" i="23"/>
  <c r="G1940" i="23"/>
  <c r="G1943" i="23"/>
  <c r="G1947" i="23"/>
  <c r="G1951" i="23"/>
  <c r="G2298" i="23"/>
  <c r="G2260" i="23"/>
  <c r="G2256" i="23"/>
  <c r="G2253" i="23"/>
  <c r="G2250" i="23"/>
  <c r="G2247" i="23"/>
  <c r="G2240" i="23"/>
  <c r="G2237" i="23"/>
  <c r="G2233" i="23"/>
  <c r="G2229" i="23"/>
  <c r="G2226" i="23"/>
  <c r="G2223" i="23"/>
  <c r="G2220" i="23"/>
  <c r="G2217" i="23"/>
  <c r="G2201" i="23"/>
  <c r="G2191" i="23"/>
  <c r="G2185" i="23"/>
  <c r="G2182" i="23"/>
  <c r="G2179" i="23"/>
  <c r="G2176" i="23"/>
  <c r="G2173" i="23"/>
  <c r="G2169" i="23"/>
  <c r="G2165" i="23"/>
  <c r="G2159" i="23"/>
  <c r="G2156" i="23"/>
  <c r="G2151" i="23"/>
  <c r="G2148" i="23"/>
  <c r="G2144" i="23"/>
  <c r="G2138" i="23"/>
  <c r="G2135" i="23"/>
  <c r="G2125" i="23"/>
  <c r="G2112" i="23"/>
  <c r="G2109" i="23"/>
  <c r="G2105" i="23"/>
  <c r="G2096" i="23"/>
  <c r="G2093" i="23"/>
  <c r="G2090" i="23"/>
  <c r="G2087" i="23"/>
  <c r="G2294" i="23"/>
  <c r="G2291" i="23"/>
  <c r="G2288" i="23"/>
  <c r="G2285" i="23"/>
  <c r="G2281" i="23"/>
  <c r="G2009" i="23"/>
  <c r="G2006" i="23"/>
  <c r="G1998" i="23"/>
  <c r="G1994" i="23"/>
  <c r="G1989" i="23"/>
  <c r="G1985" i="23"/>
  <c r="G1982" i="23"/>
  <c r="G1978" i="23"/>
  <c r="G1975" i="23"/>
  <c r="G1972" i="23"/>
  <c r="G1969" i="23"/>
  <c r="G1965" i="23"/>
  <c r="G1962" i="23"/>
  <c r="G1959" i="23"/>
  <c r="G1955" i="23"/>
  <c r="G2084" i="23"/>
  <c r="G2081" i="23"/>
  <c r="G2078" i="23"/>
  <c r="G2074" i="23"/>
  <c r="G2071" i="23"/>
  <c r="G2065" i="23"/>
  <c r="G2062" i="23"/>
  <c r="G2059" i="23"/>
  <c r="G2056" i="23"/>
  <c r="G2053" i="23"/>
  <c r="G2049" i="23"/>
  <c r="G2045" i="23"/>
  <c r="G2042" i="23"/>
  <c r="G2039" i="23"/>
  <c r="G2036" i="23"/>
  <c r="G2030" i="23"/>
  <c r="G2026" i="23"/>
  <c r="G2023" i="23"/>
  <c r="G2020" i="23"/>
  <c r="G2002" i="23"/>
  <c r="G2016" i="23"/>
  <c r="G1922" i="23"/>
  <c r="G1915" i="23"/>
  <c r="G1908" i="23"/>
  <c r="G1898" i="23"/>
  <c r="G1888" i="23"/>
  <c r="G1863" i="23"/>
  <c r="G1773" i="23"/>
  <c r="G1769" i="23"/>
  <c r="G1763" i="23"/>
  <c r="G1759" i="23"/>
  <c r="G1755" i="23"/>
  <c r="G1749" i="23"/>
  <c r="G1744" i="23"/>
  <c r="G1738" i="23"/>
  <c r="G1574" i="23"/>
  <c r="G1571" i="23"/>
  <c r="G1568" i="23"/>
  <c r="G1565" i="23"/>
  <c r="G1563" i="23"/>
  <c r="G1560" i="23"/>
  <c r="G1554" i="23"/>
  <c r="G1551" i="23"/>
  <c r="G1548" i="23"/>
  <c r="G1545" i="23"/>
  <c r="G1542" i="23"/>
  <c r="G1539" i="23"/>
  <c r="G1531" i="23"/>
  <c r="G1524" i="23"/>
  <c r="G1521" i="23"/>
  <c r="G1517" i="23"/>
  <c r="G1513" i="23"/>
  <c r="G1505" i="23"/>
  <c r="G1495" i="23"/>
  <c r="G1498" i="23"/>
  <c r="G1487" i="23"/>
  <c r="G1484" i="23"/>
  <c r="G1481" i="23"/>
  <c r="G1478" i="23"/>
  <c r="G1472" i="23"/>
  <c r="G1469" i="23"/>
  <c r="G1466" i="23"/>
  <c r="G1463" i="23"/>
  <c r="G1295" i="23"/>
  <c r="G1292" i="23"/>
  <c r="G1287" i="23"/>
  <c r="G1334" i="23"/>
  <c r="G1319" i="23"/>
  <c r="G1312" i="23"/>
  <c r="G1309" i="23"/>
  <c r="G1306" i="23"/>
  <c r="G1284" i="23"/>
  <c r="G1281" i="23"/>
  <c r="G1278" i="23"/>
  <c r="G1275" i="23"/>
  <c r="G1271" i="23"/>
  <c r="G1269" i="23" s="1"/>
  <c r="G1264" i="23"/>
  <c r="G1261" i="23"/>
  <c r="G1165" i="23"/>
  <c r="G1162" i="23"/>
  <c r="G1159" i="23"/>
  <c r="G1156" i="23"/>
  <c r="G1153" i="23"/>
  <c r="G1148" i="23"/>
  <c r="G1145" i="23"/>
  <c r="G1140" i="23"/>
  <c r="G1137" i="23"/>
  <c r="G1134" i="23"/>
  <c r="G1131" i="23"/>
  <c r="G1128" i="23"/>
  <c r="G1125" i="23"/>
  <c r="G1120" i="23"/>
  <c r="G1115" i="23"/>
  <c r="G1104" i="23"/>
  <c r="G1101" i="23"/>
  <c r="G1098" i="23"/>
  <c r="G1095" i="23"/>
  <c r="G1092" i="23"/>
  <c r="G1089" i="23"/>
  <c r="G1084" i="23"/>
  <c r="G1055" i="23"/>
  <c r="G1058" i="23"/>
  <c r="G1064" i="23"/>
  <c r="G1061" i="23"/>
  <c r="K751" i="23"/>
  <c r="G792" i="23"/>
  <c r="G899" i="23" l="1"/>
  <c r="G890" i="23"/>
  <c r="G886" i="23"/>
  <c r="G877" i="23"/>
  <c r="G869" i="23"/>
  <c r="G860" i="23"/>
  <c r="G851" i="23"/>
  <c r="G843" i="23"/>
  <c r="G835" i="23"/>
  <c r="G827" i="23"/>
  <c r="G817" i="23"/>
  <c r="G807" i="23"/>
  <c r="G795" i="23"/>
  <c r="G789" i="23"/>
  <c r="G784" i="23"/>
  <c r="G781" i="23"/>
  <c r="G778" i="23"/>
  <c r="G773" i="23"/>
  <c r="G770" i="23"/>
  <c r="G764" i="23"/>
  <c r="G758" i="23"/>
  <c r="G750" i="23"/>
  <c r="G742" i="23"/>
  <c r="G710" i="23"/>
  <c r="G719" i="23"/>
  <c r="G727" i="23"/>
  <c r="G734" i="23"/>
  <c r="G668" i="23"/>
  <c r="G665" i="23"/>
  <c r="G662" i="23"/>
  <c r="G659" i="23"/>
  <c r="G656" i="23"/>
  <c r="G651" i="23"/>
  <c r="G648" i="23"/>
  <c r="G645" i="23"/>
  <c r="G641" i="23"/>
  <c r="G638" i="23"/>
  <c r="G634" i="23"/>
  <c r="G631" i="23"/>
  <c r="G628" i="23"/>
  <c r="G626" i="23"/>
  <c r="G623" i="23"/>
  <c r="G620" i="23"/>
  <c r="G617" i="23"/>
  <c r="G614" i="23"/>
  <c r="G694" i="23"/>
  <c r="G687" i="23"/>
  <c r="G684" i="23"/>
  <c r="G685" i="23" s="1"/>
  <c r="G505" i="23"/>
  <c r="G506" i="23" s="1"/>
  <c r="G495" i="23"/>
  <c r="G496" i="23" s="1"/>
  <c r="G486" i="23"/>
  <c r="G487" i="23" s="1"/>
  <c r="G483" i="23"/>
  <c r="G484" i="23" s="1"/>
  <c r="G470" i="23"/>
  <c r="G474" i="23" s="1"/>
  <c r="G250" i="23"/>
  <c r="G366" i="23"/>
  <c r="G450" i="23"/>
  <c r="G451" i="23" s="1"/>
  <c r="G443" i="23"/>
  <c r="G440" i="23"/>
  <c r="G435" i="23"/>
  <c r="G423" i="23"/>
  <c r="G420" i="23"/>
  <c r="G417" i="23"/>
  <c r="G371" i="23"/>
  <c r="G369" i="23"/>
  <c r="G351" i="23"/>
  <c r="G348" i="23"/>
  <c r="G301" i="23"/>
  <c r="G299" i="23"/>
  <c r="G296" i="23"/>
  <c r="G293" i="23"/>
  <c r="G287" i="23"/>
  <c r="G284" i="23"/>
  <c r="G281" i="23"/>
  <c r="G278" i="23"/>
  <c r="G275" i="23"/>
  <c r="G270" i="23"/>
  <c r="G267" i="23"/>
  <c r="G264" i="23"/>
  <c r="G258" i="23"/>
  <c r="G220" i="23"/>
  <c r="G215" i="23"/>
  <c r="G212" i="23"/>
  <c r="G209" i="23"/>
  <c r="G206" i="23"/>
  <c r="G203" i="23"/>
  <c r="G200" i="23"/>
  <c r="G197" i="23"/>
  <c r="G194" i="23"/>
  <c r="G191" i="23"/>
  <c r="G188" i="23"/>
  <c r="G185" i="23"/>
  <c r="G182" i="23"/>
  <c r="G179" i="23"/>
  <c r="G176" i="23"/>
  <c r="G172" i="23"/>
  <c r="G169" i="23"/>
  <c r="G166" i="23"/>
  <c r="G163" i="23"/>
  <c r="G160" i="23"/>
  <c r="D160" i="23"/>
  <c r="M160" i="23" s="1"/>
  <c r="G157" i="23"/>
  <c r="G154" i="23"/>
  <c r="G151" i="23"/>
  <c r="G64" i="23"/>
  <c r="G58" i="23"/>
  <c r="G56" i="23"/>
  <c r="M1295" i="23" l="1"/>
  <c r="M1292" i="23"/>
  <c r="M1287" i="23"/>
  <c r="D1269" i="23"/>
  <c r="M1269" i="23" s="1"/>
  <c r="D930" i="23"/>
  <c r="M930" i="23" s="1"/>
  <c r="M961" i="23"/>
  <c r="D687" i="23" l="1"/>
  <c r="M687" i="23" s="1"/>
  <c r="D684" i="23"/>
  <c r="M684" i="23" s="1"/>
  <c r="M1442" i="23" l="1"/>
  <c r="M1439" i="23"/>
  <c r="M1434" i="23"/>
  <c r="M1424" i="23"/>
  <c r="M1416" i="23"/>
  <c r="M1408" i="23"/>
  <c r="M1398" i="23"/>
  <c r="M1391" i="23"/>
  <c r="M1383" i="23"/>
  <c r="M1375" i="23"/>
  <c r="M1367" i="23"/>
  <c r="D499" i="23"/>
  <c r="D492" i="23"/>
  <c r="D480" i="23"/>
  <c r="D476" i="23"/>
  <c r="M476" i="23" s="1"/>
  <c r="D473" i="23"/>
  <c r="M473" i="23" s="1"/>
  <c r="D467" i="23"/>
  <c r="D454" i="23"/>
  <c r="D414" i="23"/>
  <c r="D426" i="23"/>
  <c r="D411" i="23"/>
  <c r="D406" i="23"/>
  <c r="D400" i="23"/>
  <c r="D397" i="23"/>
  <c r="D394" i="23"/>
  <c r="D390" i="23"/>
  <c r="D387" i="23"/>
  <c r="D384" i="23"/>
  <c r="D381" i="23"/>
  <c r="D377" i="23"/>
  <c r="D374" i="23"/>
  <c r="M374" i="23" s="1"/>
  <c r="D364" i="23"/>
  <c r="D361" i="23"/>
  <c r="D355" i="23"/>
  <c r="D356" i="23" s="1"/>
  <c r="D345" i="23"/>
  <c r="D340" i="23"/>
  <c r="D337" i="23"/>
  <c r="D333" i="23"/>
  <c r="D330" i="23"/>
  <c r="D132" i="23"/>
  <c r="M132" i="23" s="1"/>
  <c r="D126" i="23"/>
  <c r="M126" i="23" s="1"/>
  <c r="D120" i="23"/>
  <c r="M120" i="23" s="1"/>
  <c r="D114" i="23"/>
  <c r="D108" i="23"/>
  <c r="M108" i="23" s="1"/>
  <c r="D96" i="23"/>
  <c r="D84" i="23"/>
  <c r="M84" i="23" s="1"/>
  <c r="M330" i="23" l="1"/>
  <c r="D331" i="23"/>
  <c r="M387" i="23"/>
  <c r="D388" i="23"/>
  <c r="M340" i="23"/>
  <c r="D341" i="23"/>
  <c r="M364" i="23"/>
  <c r="M384" i="23"/>
  <c r="D385" i="23"/>
  <c r="M397" i="23"/>
  <c r="D398" i="23"/>
  <c r="M426" i="23"/>
  <c r="D427" i="23"/>
  <c r="M499" i="23"/>
  <c r="D500" i="23"/>
  <c r="M345" i="23"/>
  <c r="D346" i="23"/>
  <c r="M400" i="23"/>
  <c r="D401" i="23"/>
  <c r="M333" i="23"/>
  <c r="D334" i="23"/>
  <c r="M377" i="23"/>
  <c r="D378" i="23"/>
  <c r="M406" i="23"/>
  <c r="D407" i="23"/>
  <c r="M454" i="23"/>
  <c r="D455" i="23"/>
  <c r="M480" i="23"/>
  <c r="D481" i="23"/>
  <c r="M414" i="23"/>
  <c r="D415" i="23"/>
  <c r="M390" i="23"/>
  <c r="D391" i="23"/>
  <c r="M337" i="23"/>
  <c r="D338" i="23"/>
  <c r="M361" i="23"/>
  <c r="D362" i="23"/>
  <c r="M381" i="23"/>
  <c r="D382" i="23"/>
  <c r="M394" i="23"/>
  <c r="D395" i="23"/>
  <c r="M411" i="23"/>
  <c r="D412" i="23"/>
  <c r="M467" i="23"/>
  <c r="D468" i="23"/>
  <c r="M492" i="23"/>
  <c r="D493" i="23"/>
  <c r="M96" i="23"/>
  <c r="D97" i="23"/>
  <c r="M114" i="23"/>
  <c r="D115" i="23"/>
  <c r="M355" i="23"/>
  <c r="D64" i="23"/>
  <c r="M64" i="23" s="1"/>
  <c r="D56" i="23"/>
  <c r="M56" i="23" s="1"/>
  <c r="D24" i="23"/>
  <c r="M24" i="23" s="1"/>
  <c r="D18" i="23"/>
  <c r="M18" i="23" s="1"/>
  <c r="D10" i="23"/>
  <c r="M10" i="23" s="1"/>
  <c r="D2300" i="23" l="1"/>
  <c r="G2300" i="23" s="1"/>
  <c r="G2123" i="23"/>
  <c r="M1539" i="23"/>
  <c r="M1531" i="23"/>
  <c r="M1524" i="23"/>
  <c r="M1521" i="23"/>
  <c r="M614" i="23"/>
  <c r="M623" i="23"/>
  <c r="M626" i="23"/>
  <c r="M631" i="23"/>
  <c r="M634" i="23"/>
  <c r="M638" i="23"/>
  <c r="M648" i="23"/>
  <c r="M651" i="23"/>
  <c r="M659" i="23"/>
  <c r="M662" i="23"/>
  <c r="M665" i="23"/>
  <c r="M668" i="23"/>
  <c r="M1159" i="23"/>
  <c r="M1148" i="23"/>
  <c r="M1134" i="23"/>
  <c r="M1131" i="23"/>
  <c r="M1098" i="23"/>
  <c r="M1095" i="23"/>
  <c r="M1092" i="23"/>
  <c r="M1089" i="23"/>
  <c r="M1084" i="23"/>
  <c r="M1120" i="23"/>
  <c r="M1104" i="23"/>
  <c r="M1115" i="23"/>
  <c r="M1101" i="23"/>
  <c r="M1145" i="23"/>
  <c r="M1137" i="23"/>
  <c r="M1128" i="23"/>
  <c r="M1165" i="23"/>
  <c r="M1125" i="23"/>
  <c r="M1162" i="23"/>
  <c r="M1140" i="23"/>
  <c r="M1156" i="23"/>
  <c r="M1153" i="23"/>
  <c r="D50" i="23"/>
  <c r="M50" i="23" s="1"/>
  <c r="D36" i="23"/>
  <c r="M36" i="23" s="1"/>
  <c r="D30" i="23"/>
  <c r="M30" i="23" s="1"/>
  <c r="D47" i="23"/>
  <c r="M47" i="23" s="1"/>
  <c r="D33" i="23"/>
  <c r="M33" i="23" s="1"/>
  <c r="D27" i="23"/>
  <c r="M27" i="23" s="1"/>
  <c r="D102" i="23"/>
  <c r="M102" i="23" s="1"/>
  <c r="D99" i="23"/>
  <c r="D78" i="23"/>
  <c r="M78" i="23" s="1"/>
  <c r="D39" i="23"/>
  <c r="M39" i="23" s="1"/>
  <c r="D13" i="23"/>
  <c r="M13" i="23" s="1"/>
  <c r="D75" i="23"/>
  <c r="M75" i="23" s="1"/>
  <c r="D72" i="23"/>
  <c r="M72" i="23" s="1"/>
  <c r="D69" i="23"/>
  <c r="M69" i="23" s="1"/>
  <c r="D58" i="23"/>
  <c r="M58" i="23" s="1"/>
  <c r="M99" i="23" l="1"/>
  <c r="D100" i="23"/>
  <c r="M1334" i="23"/>
  <c r="M1319" i="23"/>
  <c r="M1275" i="23"/>
  <c r="M1312" i="23"/>
  <c r="M1309" i="23"/>
  <c r="M1306" i="23"/>
  <c r="M1284" i="23"/>
  <c r="M1278" i="23"/>
  <c r="M1281" i="23"/>
  <c r="D1271" i="23"/>
  <c r="M1271" i="23" s="1"/>
  <c r="M1264" i="23"/>
  <c r="M1261" i="23"/>
  <c r="D209" i="23"/>
  <c r="M209" i="23" s="1"/>
  <c r="M154" i="23"/>
  <c r="D163" i="23"/>
  <c r="M163" i="23" s="1"/>
  <c r="D166" i="23"/>
  <c r="M166" i="23" s="1"/>
  <c r="D182" i="23"/>
  <c r="M182" i="23" s="1"/>
  <c r="D169" i="23"/>
  <c r="M169" i="23" s="1"/>
  <c r="D172" i="23"/>
  <c r="M172" i="23" s="1"/>
  <c r="D179" i="23"/>
  <c r="M179" i="23" s="1"/>
  <c r="D185" i="23"/>
  <c r="M185" i="23" s="1"/>
  <c r="D188" i="23"/>
  <c r="M188" i="23" s="1"/>
  <c r="D194" i="23"/>
  <c r="M194" i="23" s="1"/>
  <c r="D206" i="23"/>
  <c r="M206" i="23" s="1"/>
  <c r="D212" i="23"/>
  <c r="M212" i="23" s="1"/>
  <c r="D215" i="23"/>
  <c r="M215" i="23" s="1"/>
  <c r="M1571" i="23"/>
  <c r="M1548" i="23"/>
  <c r="M1542" i="23"/>
  <c r="M1469" i="23"/>
  <c r="M1463" i="23"/>
  <c r="M1466" i="23"/>
  <c r="M1574" i="23"/>
  <c r="M1563" i="23"/>
  <c r="M1568" i="23"/>
  <c r="M1481" i="23"/>
  <c r="M1545" i="23"/>
  <c r="M1472" i="23"/>
  <c r="M1478" i="23"/>
  <c r="M1551" i="23"/>
  <c r="M1554" i="23"/>
  <c r="M1557" i="23"/>
  <c r="M1560" i="23"/>
  <c r="M1484" i="23"/>
  <c r="M1487" i="23"/>
  <c r="D443" i="23"/>
  <c r="D440" i="23"/>
  <c r="D435" i="23"/>
  <c r="D423" i="23"/>
  <c r="D420" i="23"/>
  <c r="D417" i="23"/>
  <c r="D371" i="23"/>
  <c r="D369" i="23"/>
  <c r="D351" i="23"/>
  <c r="D348" i="23"/>
  <c r="D470" i="23"/>
  <c r="D366" i="23"/>
  <c r="D367" i="23" s="1"/>
  <c r="D502" i="23"/>
  <c r="D505" i="23"/>
  <c r="M495" i="23"/>
  <c r="D486" i="23"/>
  <c r="D483" i="23"/>
  <c r="D459" i="23"/>
  <c r="D450" i="23"/>
  <c r="D191" i="23"/>
  <c r="M191" i="23" s="1"/>
  <c r="D197" i="23"/>
  <c r="M197" i="23" s="1"/>
  <c r="D200" i="23"/>
  <c r="M200" i="23" s="1"/>
  <c r="D203" i="23"/>
  <c r="M203" i="23" s="1"/>
  <c r="D220" i="23"/>
  <c r="M220" i="23" s="1"/>
  <c r="D151" i="23"/>
  <c r="M151" i="23" s="1"/>
  <c r="D157" i="23"/>
  <c r="M157" i="23" s="1"/>
  <c r="D176" i="23"/>
  <c r="M176" i="23" s="1"/>
  <c r="M1255" i="23"/>
  <c r="M1241" i="23"/>
  <c r="M1223" i="23"/>
  <c r="M1180" i="23"/>
  <c r="M486" i="23" l="1"/>
  <c r="D487" i="23"/>
  <c r="M369" i="23"/>
  <c r="D370" i="23"/>
  <c r="M423" i="23"/>
  <c r="D424" i="23"/>
  <c r="M450" i="23"/>
  <c r="D451" i="23"/>
  <c r="M371" i="23"/>
  <c r="D372" i="23"/>
  <c r="M435" i="23"/>
  <c r="D436" i="23"/>
  <c r="M459" i="23"/>
  <c r="D460" i="23"/>
  <c r="M505" i="23"/>
  <c r="D506" i="23"/>
  <c r="M348" i="23"/>
  <c r="D349" i="23"/>
  <c r="M417" i="23"/>
  <c r="D418" i="23"/>
  <c r="M440" i="23"/>
  <c r="D441" i="23"/>
  <c r="M470" i="23"/>
  <c r="D474" i="23"/>
  <c r="M483" i="23"/>
  <c r="D484" i="23"/>
  <c r="M502" i="23"/>
  <c r="D503" i="23"/>
  <c r="M351" i="23"/>
  <c r="D352" i="23"/>
  <c r="M420" i="23"/>
  <c r="D421" i="23"/>
  <c r="M443" i="23"/>
  <c r="D444" i="23"/>
  <c r="G364" i="23"/>
  <c r="G367" i="23" s="1"/>
  <c r="M366" i="23"/>
  <c r="M795" i="23"/>
  <c r="D764" i="23"/>
  <c r="M764" i="23" s="1"/>
  <c r="D784" i="23"/>
  <c r="M784" i="23" s="1"/>
  <c r="D778" i="23"/>
  <c r="M778" i="23" s="1"/>
  <c r="D773" i="23"/>
  <c r="M773" i="23" s="1"/>
  <c r="D789" i="23"/>
  <c r="M789" i="23" s="1"/>
  <c r="D770" i="23"/>
  <c r="M770" i="23" s="1"/>
  <c r="D781" i="23"/>
  <c r="M781" i="23" s="1"/>
  <c r="D792" i="23"/>
  <c r="M792" i="23" s="1"/>
  <c r="M899" i="23"/>
  <c r="D886" i="23"/>
  <c r="M886" i="23" s="1"/>
  <c r="D877" i="23"/>
  <c r="M877" i="23" s="1"/>
  <c r="D869" i="23"/>
  <c r="M869" i="23" s="1"/>
  <c r="D860" i="23"/>
  <c r="M860" i="23" s="1"/>
  <c r="D851" i="23"/>
  <c r="M851" i="23" s="1"/>
  <c r="D843" i="23"/>
  <c r="M843" i="23" s="1"/>
  <c r="D835" i="23"/>
  <c r="M835" i="23" s="1"/>
  <c r="D827" i="23"/>
  <c r="M827" i="23" s="1"/>
  <c r="D817" i="23"/>
  <c r="M817" i="23" s="1"/>
  <c r="D807" i="23"/>
  <c r="M807" i="23" s="1"/>
  <c r="D758" i="23"/>
  <c r="M750" i="23"/>
  <c r="M742" i="23"/>
  <c r="D727" i="23"/>
  <c r="M727" i="23" s="1"/>
  <c r="D719" i="23"/>
  <c r="M719" i="23" s="1"/>
  <c r="D710" i="23"/>
  <c r="M710" i="23" s="1"/>
  <c r="D250" i="23"/>
  <c r="M250" i="23" s="1"/>
  <c r="D267" i="23"/>
  <c r="M267" i="23" s="1"/>
  <c r="D270" i="23"/>
  <c r="M270" i="23" s="1"/>
  <c r="M275" i="23"/>
  <c r="D278" i="23"/>
  <c r="M278" i="23" s="1"/>
  <c r="D293" i="23"/>
  <c r="M293" i="23" s="1"/>
  <c r="D296" i="23"/>
  <c r="M296" i="23" s="1"/>
  <c r="D299" i="23"/>
  <c r="M299" i="23" s="1"/>
  <c r="M301" i="23"/>
  <c r="D284" i="23"/>
  <c r="M284" i="23" s="1"/>
  <c r="D281" i="23"/>
  <c r="M281" i="23" s="1"/>
  <c r="D287" i="23"/>
  <c r="M287" i="23" s="1"/>
  <c r="M258" i="23"/>
  <c r="D264" i="23"/>
  <c r="M264" i="23" s="1"/>
  <c r="M1445" i="23"/>
  <c r="M1348" i="23"/>
  <c r="M1351" i="23"/>
  <c r="M1354" i="23"/>
  <c r="M1357" i="23"/>
  <c r="M1360" i="23"/>
  <c r="M1411" i="23"/>
  <c r="M1419" i="23"/>
  <c r="M1429" i="23"/>
  <c r="M1426" i="23"/>
  <c r="M617" i="23"/>
  <c r="M620" i="23"/>
  <c r="M628" i="23"/>
  <c r="M641" i="23"/>
  <c r="M645" i="23"/>
  <c r="M656" i="23"/>
  <c r="G1875" i="23"/>
  <c r="D1651" i="23"/>
  <c r="M758" i="23" l="1"/>
  <c r="D759" i="23"/>
  <c r="M953" i="23"/>
  <c r="M917" i="23"/>
  <c r="M920" i="23"/>
  <c r="M964" i="23"/>
  <c r="D2298" i="23"/>
  <c r="D2301" i="23" s="1"/>
  <c r="D1767" i="23" l="1"/>
  <c r="D1785" i="23" s="1"/>
  <c r="D1017" i="23"/>
  <c r="D1042" i="23"/>
  <c r="K2301" i="23"/>
  <c r="G2301" i="23"/>
  <c r="K2286" i="23"/>
  <c r="G2286" i="23"/>
  <c r="K2279" i="23"/>
  <c r="G2279" i="23"/>
  <c r="K2271" i="23"/>
  <c r="G2271" i="23"/>
  <c r="K2209" i="23"/>
  <c r="G2209" i="23"/>
  <c r="K2202" i="23"/>
  <c r="G2202" i="23"/>
  <c r="K2196" i="23"/>
  <c r="G2196" i="23"/>
  <c r="K2127" i="23"/>
  <c r="G2127" i="23"/>
  <c r="K2120" i="23"/>
  <c r="G2120" i="23"/>
  <c r="K2110" i="23"/>
  <c r="K2103" i="23"/>
  <c r="G2103" i="23"/>
  <c r="K2072" i="23"/>
  <c r="G2072" i="23"/>
  <c r="K2018" i="23"/>
  <c r="G2018" i="23"/>
  <c r="K2004" i="23"/>
  <c r="G2004" i="23"/>
  <c r="K1899" i="23"/>
  <c r="G1899" i="23"/>
  <c r="K1864" i="23"/>
  <c r="G1864" i="23"/>
  <c r="D1864" i="23"/>
  <c r="K1860" i="23"/>
  <c r="G1860" i="23"/>
  <c r="D1860" i="23"/>
  <c r="K1810" i="23"/>
  <c r="G1810" i="23"/>
  <c r="K1775" i="23"/>
  <c r="G1775" i="23"/>
  <c r="K1771" i="23"/>
  <c r="G1771" i="23"/>
  <c r="K1767" i="23"/>
  <c r="G1767" i="23"/>
  <c r="K1765" i="23"/>
  <c r="G1765" i="23"/>
  <c r="K1761" i="23"/>
  <c r="G1761" i="23"/>
  <c r="K1757" i="23"/>
  <c r="G1757" i="23"/>
  <c r="K1751" i="23"/>
  <c r="G1751" i="23"/>
  <c r="K1746" i="23"/>
  <c r="G1746" i="23"/>
  <c r="K1740" i="23"/>
  <c r="G1740" i="23"/>
  <c r="G1785" i="23" l="1"/>
  <c r="K1785" i="23"/>
  <c r="K1715" i="23"/>
  <c r="G1715" i="23"/>
  <c r="D1715" i="23"/>
  <c r="K1712" i="23"/>
  <c r="G1712" i="23"/>
  <c r="D1712" i="23"/>
  <c r="K1709" i="23"/>
  <c r="G1709" i="23"/>
  <c r="D1709" i="23"/>
  <c r="K1705" i="23"/>
  <c r="G1705" i="23"/>
  <c r="D1705" i="23"/>
  <c r="D1701" i="23"/>
  <c r="K1701" i="23"/>
  <c r="G1701" i="23"/>
  <c r="K1696" i="23"/>
  <c r="G1696" i="23"/>
  <c r="D1696" i="23"/>
  <c r="K1691" i="23"/>
  <c r="G1691" i="23"/>
  <c r="D1691" i="23"/>
  <c r="K1688" i="23"/>
  <c r="G1688" i="23"/>
  <c r="D1688" i="23"/>
  <c r="K1685" i="23"/>
  <c r="G1685" i="23"/>
  <c r="D1685" i="23"/>
  <c r="K1680" i="23"/>
  <c r="G1680" i="23"/>
  <c r="D1680" i="23"/>
  <c r="K1677" i="23"/>
  <c r="G1677" i="23"/>
  <c r="D1677" i="23"/>
  <c r="K1674" i="23"/>
  <c r="G1674" i="23"/>
  <c r="D1674" i="23"/>
  <c r="K1669" i="23"/>
  <c r="G1669" i="23"/>
  <c r="D1669" i="23"/>
  <c r="G1666" i="23"/>
  <c r="D1666" i="23"/>
  <c r="K1663" i="23"/>
  <c r="G1663" i="23"/>
  <c r="D1663" i="23"/>
  <c r="K1660" i="23"/>
  <c r="G1660" i="23"/>
  <c r="D1660" i="23"/>
  <c r="K1657" i="23"/>
  <c r="G1657" i="23"/>
  <c r="D1657" i="23"/>
  <c r="K1654" i="23"/>
  <c r="G1654" i="23"/>
  <c r="D1654" i="23"/>
  <c r="K1651" i="23"/>
  <c r="G1651" i="23"/>
  <c r="K1648" i="23"/>
  <c r="G1648" i="23"/>
  <c r="D1648" i="23"/>
  <c r="K1645" i="23"/>
  <c r="G1645" i="23"/>
  <c r="D1645" i="23"/>
  <c r="K1642" i="23"/>
  <c r="G1642" i="23"/>
  <c r="D1642" i="23"/>
  <c r="K1639" i="23"/>
  <c r="G1639" i="23"/>
  <c r="D1639" i="23"/>
  <c r="K1636" i="23"/>
  <c r="G1636" i="23"/>
  <c r="D1636" i="23"/>
  <c r="K1634" i="23"/>
  <c r="G1634" i="23"/>
  <c r="D1634" i="23"/>
  <c r="K1631" i="23"/>
  <c r="G1631" i="23"/>
  <c r="D1631" i="23"/>
  <c r="K1628" i="23"/>
  <c r="G1628" i="23"/>
  <c r="D1628" i="23"/>
  <c r="K1625" i="23"/>
  <c r="G1625" i="23"/>
  <c r="D1625" i="23"/>
  <c r="K1622" i="23"/>
  <c r="G1622" i="23"/>
  <c r="D1622" i="23"/>
  <c r="K1619" i="23"/>
  <c r="G1619" i="23"/>
  <c r="D1619" i="23"/>
  <c r="K1612" i="23"/>
  <c r="G1612" i="23"/>
  <c r="D1612" i="23"/>
  <c r="K1609" i="23"/>
  <c r="G1609" i="23"/>
  <c r="D1609" i="23"/>
  <c r="K1575" i="23"/>
  <c r="G1575" i="23"/>
  <c r="D1575" i="23"/>
  <c r="K1572" i="23"/>
  <c r="G1572" i="23"/>
  <c r="D1572" i="23"/>
  <c r="K1569" i="23"/>
  <c r="G1569" i="23"/>
  <c r="D1569" i="23"/>
  <c r="K1566" i="23"/>
  <c r="G1566" i="23"/>
  <c r="D1566" i="23"/>
  <c r="K1564" i="23"/>
  <c r="G1564" i="23"/>
  <c r="D1564" i="23"/>
  <c r="K1561" i="23"/>
  <c r="G1561" i="23"/>
  <c r="D1561" i="23"/>
  <c r="K1558" i="23"/>
  <c r="G1558" i="23"/>
  <c r="D1558" i="23"/>
  <c r="K1555" i="23"/>
  <c r="G1555" i="23"/>
  <c r="D1555" i="23"/>
  <c r="K1552" i="23"/>
  <c r="G1552" i="23"/>
  <c r="D1552" i="23"/>
  <c r="K1549" i="23"/>
  <c r="G1549" i="23"/>
  <c r="D1549" i="23"/>
  <c r="K1546" i="23"/>
  <c r="G1546" i="23"/>
  <c r="D1546" i="23"/>
  <c r="K1543" i="23"/>
  <c r="G1543" i="23"/>
  <c r="D1543" i="23"/>
  <c r="K1540" i="23"/>
  <c r="G1540" i="23"/>
  <c r="D1540" i="23"/>
  <c r="K1532" i="23"/>
  <c r="G1532" i="23"/>
  <c r="D1532" i="23"/>
  <c r="K1525" i="23"/>
  <c r="G1525" i="23"/>
  <c r="D1525" i="23"/>
  <c r="K1522" i="23"/>
  <c r="G1522" i="23"/>
  <c r="D1522" i="23"/>
  <c r="K1518" i="23"/>
  <c r="G1518" i="23"/>
  <c r="D1518" i="23"/>
  <c r="K1514" i="23"/>
  <c r="G1514" i="23"/>
  <c r="D1514" i="23"/>
  <c r="K1506" i="23"/>
  <c r="G1506" i="23"/>
  <c r="D1506" i="23"/>
  <c r="K1499" i="23"/>
  <c r="G1499" i="23"/>
  <c r="D1499" i="23"/>
  <c r="K1496" i="23"/>
  <c r="G1496" i="23"/>
  <c r="D1496" i="23"/>
  <c r="K1488" i="23"/>
  <c r="G1488" i="23"/>
  <c r="D1488" i="23"/>
  <c r="K1485" i="23"/>
  <c r="G1485" i="23"/>
  <c r="D1485" i="23"/>
  <c r="K1482" i="23"/>
  <c r="G1482" i="23"/>
  <c r="D1482" i="23"/>
  <c r="K1479" i="23"/>
  <c r="G1479" i="23"/>
  <c r="D1479" i="23"/>
  <c r="K1476" i="23"/>
  <c r="G1476" i="23"/>
  <c r="D1476" i="23"/>
  <c r="K1473" i="23"/>
  <c r="G1473" i="23"/>
  <c r="D1473" i="23"/>
  <c r="K1470" i="23"/>
  <c r="G1470" i="23"/>
  <c r="D1470" i="23"/>
  <c r="K1467" i="23"/>
  <c r="G1467" i="23"/>
  <c r="D1467" i="23"/>
  <c r="K1464" i="23"/>
  <c r="G1464" i="23"/>
  <c r="D1464" i="23"/>
  <c r="G1732" i="23" l="1"/>
  <c r="G1605" i="23"/>
  <c r="D1605" i="23"/>
  <c r="K1605" i="23"/>
  <c r="D1732" i="23"/>
  <c r="K1732" i="23"/>
  <c r="K1446" i="23"/>
  <c r="G1446" i="23"/>
  <c r="D1446" i="23"/>
  <c r="K1443" i="23"/>
  <c r="G1443" i="23"/>
  <c r="D1443" i="23"/>
  <c r="K1440" i="23"/>
  <c r="G1440" i="23"/>
  <c r="D1440" i="23"/>
  <c r="K1435" i="23"/>
  <c r="G1435" i="23"/>
  <c r="D1435" i="23"/>
  <c r="K1430" i="23"/>
  <c r="G1430" i="23"/>
  <c r="D1430" i="23"/>
  <c r="K1427" i="23"/>
  <c r="G1427" i="23"/>
  <c r="D1427" i="23"/>
  <c r="K1420" i="23"/>
  <c r="G1420" i="23"/>
  <c r="D1420" i="23"/>
  <c r="K1417" i="23"/>
  <c r="G1417" i="23"/>
  <c r="D1417" i="23"/>
  <c r="K1412" i="23"/>
  <c r="G1412" i="23"/>
  <c r="D1412" i="23"/>
  <c r="K1409" i="23"/>
  <c r="G1409" i="23"/>
  <c r="D1409" i="23"/>
  <c r="K1402" i="23"/>
  <c r="G1402" i="23"/>
  <c r="D1402" i="23"/>
  <c r="K1399" i="23"/>
  <c r="G1399" i="23"/>
  <c r="D1399" i="23"/>
  <c r="K1392" i="23"/>
  <c r="G1392" i="23"/>
  <c r="D1392" i="23"/>
  <c r="K1384" i="23"/>
  <c r="G1384" i="23"/>
  <c r="D1384" i="23"/>
  <c r="K1376" i="23"/>
  <c r="G1376" i="23"/>
  <c r="D1376" i="23"/>
  <c r="K1368" i="23"/>
  <c r="G1368" i="23"/>
  <c r="D1368" i="23"/>
  <c r="K1361" i="23"/>
  <c r="G1361" i="23"/>
  <c r="D1361" i="23"/>
  <c r="K1358" i="23"/>
  <c r="G1358" i="23"/>
  <c r="D1358" i="23"/>
  <c r="K1355" i="23"/>
  <c r="G1355" i="23"/>
  <c r="D1355" i="23"/>
  <c r="K1352" i="23"/>
  <c r="G1352" i="23"/>
  <c r="D1352" i="23"/>
  <c r="K1349" i="23"/>
  <c r="G1349" i="23"/>
  <c r="D1349" i="23"/>
  <c r="G1460" i="23" l="1"/>
  <c r="D1460" i="23"/>
  <c r="K1460" i="23"/>
  <c r="K1335" i="23"/>
  <c r="G1335" i="23"/>
  <c r="D1335" i="23"/>
  <c r="K1332" i="23"/>
  <c r="G1332" i="23"/>
  <c r="D1332" i="23"/>
  <c r="K1326" i="23"/>
  <c r="G1326" i="23"/>
  <c r="D1326" i="23"/>
  <c r="K1320" i="23"/>
  <c r="G1320" i="23"/>
  <c r="K1313" i="23"/>
  <c r="G1313" i="23"/>
  <c r="D1313" i="23"/>
  <c r="K1310" i="23"/>
  <c r="G1310" i="23"/>
  <c r="D1310" i="23"/>
  <c r="K1307" i="23"/>
  <c r="G1307" i="23"/>
  <c r="D1307" i="23"/>
  <c r="K1304" i="23"/>
  <c r="G1304" i="23"/>
  <c r="D1304" i="23"/>
  <c r="K1302" i="23"/>
  <c r="G1302" i="23"/>
  <c r="D1302" i="23"/>
  <c r="K1299" i="23"/>
  <c r="G1299" i="23"/>
  <c r="D1299" i="23"/>
  <c r="K1296" i="23"/>
  <c r="G1296" i="23"/>
  <c r="D1296" i="23"/>
  <c r="K1293" i="23"/>
  <c r="G1293" i="23"/>
  <c r="D1293" i="23"/>
  <c r="K1288" i="23"/>
  <c r="G1288" i="23"/>
  <c r="D1288" i="23"/>
  <c r="K1285" i="23"/>
  <c r="G1285" i="23"/>
  <c r="D1285" i="23"/>
  <c r="K1282" i="23"/>
  <c r="G1282" i="23"/>
  <c r="D1282" i="23"/>
  <c r="K1279" i="23"/>
  <c r="G1279" i="23"/>
  <c r="D1279" i="23"/>
  <c r="K1276" i="23"/>
  <c r="G1276" i="23"/>
  <c r="D1276" i="23"/>
  <c r="K1272" i="23"/>
  <c r="G1272" i="23"/>
  <c r="D1272" i="23"/>
  <c r="K1265" i="23"/>
  <c r="G1265" i="23"/>
  <c r="D1265" i="23"/>
  <c r="K1262" i="23"/>
  <c r="G1262" i="23"/>
  <c r="D1262" i="23"/>
  <c r="K1065" i="23"/>
  <c r="G1065" i="23"/>
  <c r="D1065" i="23"/>
  <c r="K1062" i="23"/>
  <c r="G1062" i="23"/>
  <c r="D1062" i="23"/>
  <c r="K1059" i="23"/>
  <c r="G1059" i="23"/>
  <c r="D1059" i="23"/>
  <c r="K1056" i="23"/>
  <c r="G1056" i="23"/>
  <c r="K1053" i="23"/>
  <c r="G1053" i="23"/>
  <c r="D1053" i="23"/>
  <c r="K1050" i="23"/>
  <c r="G1050" i="23"/>
  <c r="D1050" i="23"/>
  <c r="K1046" i="23"/>
  <c r="G1046" i="23"/>
  <c r="K1042" i="23"/>
  <c r="G1042" i="23"/>
  <c r="K1039" i="23"/>
  <c r="G1039" i="23"/>
  <c r="D1039" i="23"/>
  <c r="K1036" i="23"/>
  <c r="G1036" i="23"/>
  <c r="D1036" i="23"/>
  <c r="K1033" i="23"/>
  <c r="G1033" i="23"/>
  <c r="D1033" i="23"/>
  <c r="D1025" i="23"/>
  <c r="K1030" i="23"/>
  <c r="G1030" i="23"/>
  <c r="D1030" i="23"/>
  <c r="K1025" i="23"/>
  <c r="G1025" i="23"/>
  <c r="K1021" i="23"/>
  <c r="G1021" i="23"/>
  <c r="D1021" i="23"/>
  <c r="K1017" i="23"/>
  <c r="K994" i="23"/>
  <c r="D994" i="23"/>
  <c r="K988" i="23"/>
  <c r="D988" i="23"/>
  <c r="K982" i="23"/>
  <c r="D982" i="23"/>
  <c r="K974" i="23"/>
  <c r="D974" i="23"/>
  <c r="K971" i="23"/>
  <c r="D971" i="23"/>
  <c r="K965" i="23"/>
  <c r="D965" i="23"/>
  <c r="K962" i="23"/>
  <c r="D962" i="23"/>
  <c r="G1075" i="23" l="1"/>
  <c r="G1345" i="23"/>
  <c r="D1075" i="23"/>
  <c r="D1345" i="23"/>
  <c r="K1075" i="23"/>
  <c r="K1345" i="23"/>
  <c r="K954" i="23"/>
  <c r="D954" i="23"/>
  <c r="K947" i="23"/>
  <c r="D947" i="23"/>
  <c r="K939" i="23"/>
  <c r="D939" i="23"/>
  <c r="K931" i="23"/>
  <c r="D931" i="23"/>
  <c r="K924" i="23"/>
  <c r="D924" i="23"/>
  <c r="K921" i="23"/>
  <c r="D921" i="23"/>
  <c r="K918" i="23"/>
  <c r="D918" i="23"/>
  <c r="K798" i="23"/>
  <c r="G798" i="23"/>
  <c r="D798" i="23"/>
  <c r="K796" i="23"/>
  <c r="G796" i="23"/>
  <c r="D796" i="23"/>
  <c r="K793" i="23"/>
  <c r="G793" i="23"/>
  <c r="D793" i="23"/>
  <c r="K790" i="23"/>
  <c r="G790" i="23"/>
  <c r="D790" i="23"/>
  <c r="K787" i="23"/>
  <c r="G787" i="23"/>
  <c r="D787" i="23"/>
  <c r="K785" i="23"/>
  <c r="G785" i="23"/>
  <c r="D785" i="23"/>
  <c r="K782" i="23"/>
  <c r="G782" i="23"/>
  <c r="D782" i="23"/>
  <c r="K779" i="23"/>
  <c r="G779" i="23"/>
  <c r="D779" i="23"/>
  <c r="K774" i="23"/>
  <c r="G774" i="23"/>
  <c r="D774" i="23"/>
  <c r="K771" i="23"/>
  <c r="G771" i="23"/>
  <c r="D771" i="23"/>
  <c r="K765" i="23"/>
  <c r="G765" i="23"/>
  <c r="D765" i="23"/>
  <c r="G735" i="23"/>
  <c r="D735" i="23"/>
  <c r="K695" i="23"/>
  <c r="G695" i="23"/>
  <c r="D695" i="23"/>
  <c r="K692" i="23"/>
  <c r="G692" i="23"/>
  <c r="D692" i="23"/>
  <c r="K690" i="23"/>
  <c r="G690" i="23"/>
  <c r="D690" i="23"/>
  <c r="K688" i="23"/>
  <c r="G688" i="23"/>
  <c r="D688" i="23"/>
  <c r="K685" i="23"/>
  <c r="D685" i="23"/>
  <c r="K682" i="23"/>
  <c r="G682" i="23"/>
  <c r="D682" i="23"/>
  <c r="K680" i="23"/>
  <c r="G680" i="23"/>
  <c r="D680" i="23"/>
  <c r="K669" i="23"/>
  <c r="G669" i="23"/>
  <c r="D669" i="23"/>
  <c r="K666" i="23"/>
  <c r="G666" i="23"/>
  <c r="D666" i="23"/>
  <c r="K663" i="23"/>
  <c r="G663" i="23"/>
  <c r="D663" i="23"/>
  <c r="K660" i="23"/>
  <c r="G660" i="23"/>
  <c r="D660" i="23"/>
  <c r="K657" i="23"/>
  <c r="G657" i="23"/>
  <c r="D657" i="23"/>
  <c r="K652" i="23"/>
  <c r="G652" i="23"/>
  <c r="D652" i="23"/>
  <c r="K649" i="23"/>
  <c r="G649" i="23"/>
  <c r="D649" i="23"/>
  <c r="K646" i="23"/>
  <c r="G646" i="23"/>
  <c r="D646" i="23"/>
  <c r="K642" i="23"/>
  <c r="G642" i="23"/>
  <c r="D642" i="23"/>
  <c r="K639" i="23"/>
  <c r="G639" i="23"/>
  <c r="D639" i="23"/>
  <c r="K629" i="23"/>
  <c r="G629" i="23"/>
  <c r="D629" i="23"/>
  <c r="K635" i="23"/>
  <c r="G635" i="23"/>
  <c r="D635" i="23"/>
  <c r="K632" i="23"/>
  <c r="G632" i="23"/>
  <c r="D632" i="23"/>
  <c r="K624" i="23"/>
  <c r="G624" i="23"/>
  <c r="D624" i="23"/>
  <c r="K621" i="23"/>
  <c r="G621" i="23"/>
  <c r="D621" i="23"/>
  <c r="K618" i="23"/>
  <c r="G618" i="23"/>
  <c r="D618" i="23"/>
  <c r="K615" i="23"/>
  <c r="G615" i="23"/>
  <c r="D615" i="23"/>
  <c r="K600" i="23"/>
  <c r="G600" i="23"/>
  <c r="D600" i="23"/>
  <c r="K592" i="23"/>
  <c r="G592" i="23"/>
  <c r="D592" i="23"/>
  <c r="K596" i="23"/>
  <c r="G596" i="23"/>
  <c r="D596" i="23"/>
  <c r="K588" i="23"/>
  <c r="G588" i="23"/>
  <c r="D588" i="23"/>
  <c r="K585" i="23"/>
  <c r="G585" i="23"/>
  <c r="D585" i="23"/>
  <c r="K574" i="23"/>
  <c r="G574" i="23"/>
  <c r="D574" i="23"/>
  <c r="K570" i="23"/>
  <c r="G570" i="23"/>
  <c r="D570" i="23"/>
  <c r="K566" i="23"/>
  <c r="G566" i="23"/>
  <c r="D566" i="23"/>
  <c r="K562" i="23"/>
  <c r="G562" i="23"/>
  <c r="D562" i="23"/>
  <c r="K555" i="23"/>
  <c r="G555" i="23"/>
  <c r="D555" i="23"/>
  <c r="K548" i="23"/>
  <c r="G548" i="23"/>
  <c r="D548" i="23"/>
  <c r="K541" i="23"/>
  <c r="G541" i="23"/>
  <c r="D541" i="23"/>
  <c r="K534" i="23"/>
  <c r="G534" i="23"/>
  <c r="D534" i="23"/>
  <c r="K527" i="23"/>
  <c r="G527" i="23"/>
  <c r="K477" i="23"/>
  <c r="D477" i="23"/>
  <c r="K506" i="23"/>
  <c r="K503" i="23"/>
  <c r="K496" i="23"/>
  <c r="K487" i="23"/>
  <c r="K484" i="23"/>
  <c r="K460" i="23"/>
  <c r="G460" i="23"/>
  <c r="K455" i="23"/>
  <c r="K451" i="23"/>
  <c r="K447" i="23"/>
  <c r="G447" i="23"/>
  <c r="D447" i="23"/>
  <c r="K444" i="23"/>
  <c r="G444" i="23"/>
  <c r="K441" i="23"/>
  <c r="G441" i="23"/>
  <c r="K436" i="23"/>
  <c r="G436" i="23"/>
  <c r="K424" i="23"/>
  <c r="G424" i="23"/>
  <c r="K421" i="23"/>
  <c r="G421" i="23"/>
  <c r="K418" i="23"/>
  <c r="G418" i="23"/>
  <c r="K401" i="23"/>
  <c r="G401" i="23"/>
  <c r="K388" i="23"/>
  <c r="K382" i="23"/>
  <c r="K372" i="23"/>
  <c r="G372" i="23"/>
  <c r="K370" i="23"/>
  <c r="G370" i="23"/>
  <c r="K367" i="23"/>
  <c r="K356" i="23"/>
  <c r="G356" i="23"/>
  <c r="K352" i="23"/>
  <c r="G352" i="23"/>
  <c r="K349" i="23"/>
  <c r="G349" i="23"/>
  <c r="K315" i="23"/>
  <c r="G315" i="23"/>
  <c r="D315" i="23"/>
  <c r="K308" i="23"/>
  <c r="G308" i="23"/>
  <c r="D308" i="23"/>
  <c r="K302" i="23"/>
  <c r="G302" i="23"/>
  <c r="D302" i="23"/>
  <c r="K300" i="23"/>
  <c r="G300" i="23"/>
  <c r="D300" i="23"/>
  <c r="K297" i="23"/>
  <c r="G297" i="23"/>
  <c r="D297" i="23"/>
  <c r="K294" i="23"/>
  <c r="G294" i="23"/>
  <c r="D294" i="23"/>
  <c r="K291" i="23"/>
  <c r="G291" i="23"/>
  <c r="D291" i="23"/>
  <c r="K288" i="23"/>
  <c r="G288" i="23"/>
  <c r="D288" i="23"/>
  <c r="K285" i="23"/>
  <c r="G285" i="23"/>
  <c r="D285" i="23"/>
  <c r="K282" i="23"/>
  <c r="G282" i="23"/>
  <c r="D282" i="23"/>
  <c r="K279" i="23"/>
  <c r="G279" i="23"/>
  <c r="D279" i="23"/>
  <c r="K276" i="23"/>
  <c r="G276" i="23"/>
  <c r="D276" i="23"/>
  <c r="G273" i="23"/>
  <c r="D273" i="23"/>
  <c r="K271" i="23"/>
  <c r="G271" i="23"/>
  <c r="D271" i="23"/>
  <c r="K268" i="23"/>
  <c r="G268" i="23"/>
  <c r="D268" i="23"/>
  <c r="K265" i="23"/>
  <c r="G265" i="23"/>
  <c r="D265" i="23"/>
  <c r="K262" i="23"/>
  <c r="G262" i="23"/>
  <c r="D262" i="23"/>
  <c r="K259" i="23"/>
  <c r="G259" i="23"/>
  <c r="D259" i="23"/>
  <c r="K256" i="23"/>
  <c r="G256" i="23"/>
  <c r="D256" i="23"/>
  <c r="K251" i="23"/>
  <c r="G251" i="23"/>
  <c r="D251" i="23"/>
  <c r="K248" i="23"/>
  <c r="G248" i="23"/>
  <c r="D248" i="23"/>
  <c r="K245" i="23"/>
  <c r="G245" i="23"/>
  <c r="D245" i="23"/>
  <c r="K701" i="23" l="1"/>
  <c r="D581" i="23"/>
  <c r="D325" i="23"/>
  <c r="G325" i="23"/>
  <c r="K325" i="23"/>
  <c r="G677" i="23"/>
  <c r="K677" i="23"/>
  <c r="G1012" i="23"/>
  <c r="G611" i="23"/>
  <c r="G581" i="23"/>
  <c r="G701" i="23"/>
  <c r="D611" i="23"/>
  <c r="D677" i="23"/>
  <c r="K611" i="23"/>
  <c r="D1012" i="23"/>
  <c r="D701" i="23"/>
  <c r="K1012" i="23"/>
  <c r="K581" i="23"/>
  <c r="K1789" i="23"/>
  <c r="G1789" i="23"/>
  <c r="K1792" i="23"/>
  <c r="G1792" i="23"/>
  <c r="K1796" i="23"/>
  <c r="G1796" i="23"/>
  <c r="K1800" i="23"/>
  <c r="G1800" i="23"/>
  <c r="K1803" i="23"/>
  <c r="G1803" i="23"/>
  <c r="K1806" i="23"/>
  <c r="G1806" i="23"/>
  <c r="K1813" i="23"/>
  <c r="G1813" i="23"/>
  <c r="D1813" i="23"/>
  <c r="K1816" i="23"/>
  <c r="G1816" i="23"/>
  <c r="D1816" i="23"/>
  <c r="K1819" i="23"/>
  <c r="G1819" i="23"/>
  <c r="D1819" i="23"/>
  <c r="K1822" i="23"/>
  <c r="G1822" i="23"/>
  <c r="D1822" i="23"/>
  <c r="K1825" i="23"/>
  <c r="G1825" i="23"/>
  <c r="D1825" i="23"/>
  <c r="K1828" i="23"/>
  <c r="G1828" i="23"/>
  <c r="D1828" i="23"/>
  <c r="K1831" i="23"/>
  <c r="G1831" i="23"/>
  <c r="K1835" i="23"/>
  <c r="K1838" i="23"/>
  <c r="G1838" i="23"/>
  <c r="K1844" i="23"/>
  <c r="G1844" i="23"/>
  <c r="D1844" i="23"/>
  <c r="K1847" i="23"/>
  <c r="G1847" i="23"/>
  <c r="D1847" i="23"/>
  <c r="K1850" i="23"/>
  <c r="G1850" i="23"/>
  <c r="K1853" i="23"/>
  <c r="G1853" i="23"/>
  <c r="D1853" i="23"/>
  <c r="K1856" i="23"/>
  <c r="G1856" i="23"/>
  <c r="D1856" i="23"/>
  <c r="K1867" i="23"/>
  <c r="G1867" i="23"/>
  <c r="D1867" i="23"/>
  <c r="K1870" i="23"/>
  <c r="G1870" i="23"/>
  <c r="K1873" i="23"/>
  <c r="G1873" i="23"/>
  <c r="K1876" i="23"/>
  <c r="G1876" i="23"/>
  <c r="K1879" i="23"/>
  <c r="G1879" i="23"/>
  <c r="K1882" i="23"/>
  <c r="G1882" i="23"/>
  <c r="K1886" i="23"/>
  <c r="G1886" i="23"/>
  <c r="K1890" i="23"/>
  <c r="G1890" i="23"/>
  <c r="K1893" i="23"/>
  <c r="G1893" i="23"/>
  <c r="D1893" i="23"/>
  <c r="G1902" i="23"/>
  <c r="K1902" i="23"/>
  <c r="K1906" i="23"/>
  <c r="G1906" i="23"/>
  <c r="K1909" i="23"/>
  <c r="G1909" i="23"/>
  <c r="D1909" i="23"/>
  <c r="K1913" i="23"/>
  <c r="G1913" i="23"/>
  <c r="K1917" i="23"/>
  <c r="G1917" i="23"/>
  <c r="K1920" i="23"/>
  <c r="G1920" i="23"/>
  <c r="D1920" i="23"/>
  <c r="K1923" i="23"/>
  <c r="G1923" i="23"/>
  <c r="D1923" i="23"/>
  <c r="K1926" i="23"/>
  <c r="G1926" i="23"/>
  <c r="D1926" i="23"/>
  <c r="K1929" i="23"/>
  <c r="G1929" i="23"/>
  <c r="D1929" i="23"/>
  <c r="K1932" i="23"/>
  <c r="G1932" i="23"/>
  <c r="D1932" i="23"/>
  <c r="K1935" i="23"/>
  <c r="G1935" i="23"/>
  <c r="K1939" i="23"/>
  <c r="G1939" i="23"/>
  <c r="K1941" i="23"/>
  <c r="G1941" i="23"/>
  <c r="D1941" i="23"/>
  <c r="K1945" i="23"/>
  <c r="G1945" i="23"/>
  <c r="K1949" i="23"/>
  <c r="G1949" i="23"/>
  <c r="K1953" i="23"/>
  <c r="G1953" i="23"/>
  <c r="K1957" i="23"/>
  <c r="G1957" i="23"/>
  <c r="K1960" i="23"/>
  <c r="G1960" i="23"/>
  <c r="D1960" i="23"/>
  <c r="K1963" i="23"/>
  <c r="G1963" i="23"/>
  <c r="D1963" i="23"/>
  <c r="K1967" i="23"/>
  <c r="G1967" i="23"/>
  <c r="K1970" i="23"/>
  <c r="G1970" i="23"/>
  <c r="D1970" i="23"/>
  <c r="K1973" i="23"/>
  <c r="G1973" i="23"/>
  <c r="D1973" i="23"/>
  <c r="K1976" i="23"/>
  <c r="G1976" i="23"/>
  <c r="D1976" i="23"/>
  <c r="K1980" i="23"/>
  <c r="G1980" i="23"/>
  <c r="K1983" i="23"/>
  <c r="G1983" i="23"/>
  <c r="D1983" i="23"/>
  <c r="K1986" i="23"/>
  <c r="G1986" i="23"/>
  <c r="D1986" i="23"/>
  <c r="K1991" i="23"/>
  <c r="G1991" i="23"/>
  <c r="K1996" i="23"/>
  <c r="G1996" i="23"/>
  <c r="K1999" i="23"/>
  <c r="G1999" i="23"/>
  <c r="D1999" i="23"/>
  <c r="K2007" i="23"/>
  <c r="G2007" i="23"/>
  <c r="K2010" i="23"/>
  <c r="G2010" i="23"/>
  <c r="K2021" i="23"/>
  <c r="G2021" i="23"/>
  <c r="K2024" i="23"/>
  <c r="G2024" i="23"/>
  <c r="K2028" i="23"/>
  <c r="G2028" i="23"/>
  <c r="K2032" i="23"/>
  <c r="G2032" i="23"/>
  <c r="K2037" i="23"/>
  <c r="G2037" i="23"/>
  <c r="K2040" i="23"/>
  <c r="G2040" i="23"/>
  <c r="K2043" i="23"/>
  <c r="G2043" i="23"/>
  <c r="D2043" i="23"/>
  <c r="K2047" i="23"/>
  <c r="G2047" i="23"/>
  <c r="K2051" i="23"/>
  <c r="G2051" i="23"/>
  <c r="K2054" i="23"/>
  <c r="G2054" i="23"/>
  <c r="D2054" i="23"/>
  <c r="K2057" i="23"/>
  <c r="G2057" i="23"/>
  <c r="K2060" i="23"/>
  <c r="G2060" i="23"/>
  <c r="K2063" i="23"/>
  <c r="G2063" i="23"/>
  <c r="K2066" i="23"/>
  <c r="G2066" i="23"/>
  <c r="K2076" i="23"/>
  <c r="G2076" i="23"/>
  <c r="K2079" i="23"/>
  <c r="G2079" i="23"/>
  <c r="D2079" i="23"/>
  <c r="K2082" i="23"/>
  <c r="G2082" i="23"/>
  <c r="K2085" i="23"/>
  <c r="G2085" i="23"/>
  <c r="D2085" i="23"/>
  <c r="G2088" i="23"/>
  <c r="K2091" i="23"/>
  <c r="G2091" i="23"/>
  <c r="K2094" i="23"/>
  <c r="G2094" i="23"/>
  <c r="K2097" i="23"/>
  <c r="G2097" i="23"/>
  <c r="K2107" i="23"/>
  <c r="G2107" i="23"/>
  <c r="G2110" i="23"/>
  <c r="D2110" i="23"/>
  <c r="K2113" i="23"/>
  <c r="G2113" i="23"/>
  <c r="D2113" i="23"/>
  <c r="K2116" i="23"/>
  <c r="G2116" i="23"/>
  <c r="K2130" i="23"/>
  <c r="G2130" i="23"/>
  <c r="D2130" i="23"/>
  <c r="K2133" i="23"/>
  <c r="G2133" i="23"/>
  <c r="D2133" i="23"/>
  <c r="K2136" i="23"/>
  <c r="G2136" i="23"/>
  <c r="D2136" i="23"/>
  <c r="K2139" i="23"/>
  <c r="G2139" i="23"/>
  <c r="D2139" i="23"/>
  <c r="K2142" i="23"/>
  <c r="G2142" i="23"/>
  <c r="D2142" i="23"/>
  <c r="K2145" i="23"/>
  <c r="G2145" i="23"/>
  <c r="K2149" i="23"/>
  <c r="G2149" i="23"/>
  <c r="K2152" i="23"/>
  <c r="G2152" i="23"/>
  <c r="K2157" i="23"/>
  <c r="G2157" i="23"/>
  <c r="D2157" i="23"/>
  <c r="K2160" i="23"/>
  <c r="G2160" i="23"/>
  <c r="D2160" i="23"/>
  <c r="K2163" i="23"/>
  <c r="G2163" i="23"/>
  <c r="D2163" i="23"/>
  <c r="K2167" i="23"/>
  <c r="G2167" i="23"/>
  <c r="K2171" i="23"/>
  <c r="G2171" i="23"/>
  <c r="K2174" i="23"/>
  <c r="G2174" i="23"/>
  <c r="D2174" i="23"/>
  <c r="K2177" i="23"/>
  <c r="G2177" i="23"/>
  <c r="D2177" i="23"/>
  <c r="K2180" i="23"/>
  <c r="G2180" i="23"/>
  <c r="K2183" i="23"/>
  <c r="G2183" i="23"/>
  <c r="K2186" i="23"/>
  <c r="G2186" i="23"/>
  <c r="K2189" i="23"/>
  <c r="G2189" i="23"/>
  <c r="D2189" i="23"/>
  <c r="K2192" i="23"/>
  <c r="G2192" i="23"/>
  <c r="K2218" i="23"/>
  <c r="G2218" i="23"/>
  <c r="K2221" i="23"/>
  <c r="G2221" i="23"/>
  <c r="K2224" i="23"/>
  <c r="G2224" i="23"/>
  <c r="D2224" i="23"/>
  <c r="K2227" i="23"/>
  <c r="G2227" i="23"/>
  <c r="D2227" i="23"/>
  <c r="K2231" i="23"/>
  <c r="G2231" i="23"/>
  <c r="K2235" i="23"/>
  <c r="G2235" i="23"/>
  <c r="K2238" i="23"/>
  <c r="G2238" i="23"/>
  <c r="K2242" i="23"/>
  <c r="G2242" i="23"/>
  <c r="G2245" i="23"/>
  <c r="D2245" i="23"/>
  <c r="K2245" i="23"/>
  <c r="K2248" i="23"/>
  <c r="G2248" i="23"/>
  <c r="D2248" i="23"/>
  <c r="K2258" i="23"/>
  <c r="K2254" i="23"/>
  <c r="K2251" i="23"/>
  <c r="G2251" i="23"/>
  <c r="D2251" i="23"/>
  <c r="G2254" i="23"/>
  <c r="D2254" i="23"/>
  <c r="G2258" i="23"/>
  <c r="K2262" i="23"/>
  <c r="G2262" i="23"/>
  <c r="G2265" i="23"/>
  <c r="K2295" i="23"/>
  <c r="G2295" i="23"/>
  <c r="K2292" i="23"/>
  <c r="G2292" i="23"/>
  <c r="K2289" i="23"/>
  <c r="G2289" i="23"/>
  <c r="K2282" i="23"/>
  <c r="G2282" i="23"/>
  <c r="D2403" i="23" l="1"/>
  <c r="K1841" i="23"/>
  <c r="G1841" i="23"/>
  <c r="D1841" i="23"/>
  <c r="K2274" i="23"/>
  <c r="G2274" i="23"/>
  <c r="D2274" i="23"/>
  <c r="K2215" i="23"/>
  <c r="G2215" i="23"/>
  <c r="K2403" i="23" l="1"/>
  <c r="G2403" i="23"/>
  <c r="K891" i="23"/>
  <c r="G891" i="23"/>
  <c r="D891" i="23"/>
  <c r="K732" i="23" l="1"/>
  <c r="G732" i="23"/>
  <c r="D732" i="23"/>
  <c r="K730" i="23"/>
  <c r="G730" i="23"/>
  <c r="D730" i="23"/>
  <c r="K493" i="23" l="1"/>
  <c r="K500" i="23"/>
  <c r="K415" i="23"/>
  <c r="K409" i="23"/>
  <c r="G409" i="23"/>
  <c r="K462" i="23"/>
  <c r="G462" i="23"/>
  <c r="K457" i="23"/>
  <c r="G457" i="23"/>
  <c r="D457" i="23"/>
  <c r="K474" i="23"/>
  <c r="K481" i="23"/>
  <c r="K391" i="23"/>
  <c r="K395" i="23"/>
  <c r="K398" i="23"/>
  <c r="K412" i="23"/>
  <c r="K433" i="23"/>
  <c r="G433" i="23"/>
  <c r="K489" i="23"/>
  <c r="K358" i="23"/>
  <c r="G358" i="23"/>
  <c r="K468" i="23"/>
  <c r="K341" i="23"/>
  <c r="G341" i="23"/>
  <c r="K427" i="23"/>
  <c r="K431" i="23"/>
  <c r="K438" i="23"/>
  <c r="G438" i="23"/>
  <c r="K331" i="23"/>
  <c r="K334" i="23"/>
  <c r="K362" i="23"/>
  <c r="K385" i="23"/>
  <c r="K378" i="23"/>
  <c r="K375" i="23"/>
  <c r="D375" i="23"/>
  <c r="K239" i="23"/>
  <c r="K241" i="23" s="1"/>
  <c r="D239" i="23"/>
  <c r="D241" i="23" s="1"/>
  <c r="G177" i="23"/>
  <c r="D177" i="23"/>
  <c r="K221" i="23"/>
  <c r="G221" i="23"/>
  <c r="D221" i="23"/>
  <c r="K216" i="23"/>
  <c r="G216" i="23"/>
  <c r="D216" i="23"/>
  <c r="K213" i="23"/>
  <c r="G213" i="23"/>
  <c r="D213" i="23"/>
  <c r="G210" i="23"/>
  <c r="D210" i="23"/>
  <c r="G207" i="23"/>
  <c r="D207" i="23"/>
  <c r="G204" i="23"/>
  <c r="D204" i="23"/>
  <c r="G201" i="23"/>
  <c r="D201" i="23"/>
  <c r="G198" i="23"/>
  <c r="D198" i="23"/>
  <c r="G195" i="23"/>
  <c r="D195" i="23"/>
  <c r="G192" i="23"/>
  <c r="D192" i="23"/>
  <c r="G189" i="23"/>
  <c r="D189" i="23"/>
  <c r="G186" i="23"/>
  <c r="D186" i="23"/>
  <c r="G183" i="23"/>
  <c r="D183" i="23"/>
  <c r="G180" i="23"/>
  <c r="D180" i="23"/>
  <c r="G173" i="23"/>
  <c r="D173" i="23"/>
  <c r="G170" i="23"/>
  <c r="D170" i="23"/>
  <c r="G167" i="23"/>
  <c r="D167" i="23"/>
  <c r="G164" i="23"/>
  <c r="D164" i="23"/>
  <c r="G161" i="23"/>
  <c r="D161" i="23"/>
  <c r="G158" i="23"/>
  <c r="D158" i="23"/>
  <c r="G155" i="23"/>
  <c r="D155" i="23"/>
  <c r="G152" i="23"/>
  <c r="D152" i="23"/>
  <c r="G51" i="23"/>
  <c r="D51" i="23"/>
  <c r="D133" i="23"/>
  <c r="D121" i="23"/>
  <c r="D127" i="23"/>
  <c r="D109" i="23"/>
  <c r="D103" i="23"/>
  <c r="K1256" i="23"/>
  <c r="G1256" i="23"/>
  <c r="D1256" i="23"/>
  <c r="K1253" i="23"/>
  <c r="G1253" i="23"/>
  <c r="D1253" i="23"/>
  <c r="K1250" i="23"/>
  <c r="G1250" i="23"/>
  <c r="K1246" i="23"/>
  <c r="G1246" i="23"/>
  <c r="K1242" i="23"/>
  <c r="G1242" i="23"/>
  <c r="D1242" i="23"/>
  <c r="K1239" i="23"/>
  <c r="G1239" i="23"/>
  <c r="K1235" i="23"/>
  <c r="G1235" i="23"/>
  <c r="K1231" i="23"/>
  <c r="G1231" i="23"/>
  <c r="K1228" i="23"/>
  <c r="G1228" i="23"/>
  <c r="D1228" i="23"/>
  <c r="K1226" i="23"/>
  <c r="D1226" i="23"/>
  <c r="K1224" i="23"/>
  <c r="G1224" i="23"/>
  <c r="D1224" i="23"/>
  <c r="K1221" i="23"/>
  <c r="G1221" i="23"/>
  <c r="D1221" i="23"/>
  <c r="K1219" i="23"/>
  <c r="G1219" i="23"/>
  <c r="D1219" i="23"/>
  <c r="K1217" i="23"/>
  <c r="G1217" i="23"/>
  <c r="K1213" i="23"/>
  <c r="G1213" i="23"/>
  <c r="K1209" i="23"/>
  <c r="G1209" i="23"/>
  <c r="K1205" i="23"/>
  <c r="G1205" i="23"/>
  <c r="K1201" i="23"/>
  <c r="G1201" i="23"/>
  <c r="D1201" i="23"/>
  <c r="K1198" i="23"/>
  <c r="G1198" i="23"/>
  <c r="D1198" i="23"/>
  <c r="K1195" i="23"/>
  <c r="G1195" i="23"/>
  <c r="D1195" i="23"/>
  <c r="K1192" i="23"/>
  <c r="G1192" i="23"/>
  <c r="K1188" i="23"/>
  <c r="G1188" i="23"/>
  <c r="D1188" i="23"/>
  <c r="K1185" i="23"/>
  <c r="G1185" i="23"/>
  <c r="K1181" i="23"/>
  <c r="G1181" i="23"/>
  <c r="D1181" i="23"/>
  <c r="K231" i="23" l="1"/>
  <c r="K519" i="23"/>
  <c r="G231" i="23"/>
  <c r="D519" i="23"/>
  <c r="D231" i="23"/>
  <c r="K1178" i="23"/>
  <c r="G1178" i="23"/>
  <c r="D1178" i="23"/>
  <c r="K1175" i="23"/>
  <c r="G1175" i="23"/>
  <c r="D1175" i="23"/>
  <c r="K1172" i="23"/>
  <c r="G1172" i="23"/>
  <c r="D1172" i="23"/>
  <c r="G1166" i="23"/>
  <c r="G1163" i="23"/>
  <c r="G1160" i="23"/>
  <c r="K1157" i="23"/>
  <c r="G1157" i="23"/>
  <c r="G1154" i="23"/>
  <c r="K1151" i="23"/>
  <c r="G1151" i="23"/>
  <c r="D1151" i="23"/>
  <c r="G1149" i="23"/>
  <c r="K1146" i="23"/>
  <c r="G1146" i="23"/>
  <c r="K1143" i="23"/>
  <c r="G1143" i="23"/>
  <c r="D1143" i="23"/>
  <c r="G1141" i="23"/>
  <c r="G1138" i="23"/>
  <c r="K1135" i="23"/>
  <c r="G1135" i="23"/>
  <c r="K1132" i="23"/>
  <c r="G1132" i="23"/>
  <c r="G1129" i="23"/>
  <c r="G1126" i="23"/>
  <c r="K1123" i="23"/>
  <c r="G1123" i="23"/>
  <c r="D1123" i="23"/>
  <c r="G1121" i="23"/>
  <c r="K1118" i="23"/>
  <c r="G1118" i="23"/>
  <c r="D1118" i="23"/>
  <c r="G1116" i="23"/>
  <c r="K1113" i="23"/>
  <c r="G1113" i="23"/>
  <c r="D1113" i="23"/>
  <c r="K1111" i="23"/>
  <c r="G1111" i="23"/>
  <c r="D1111" i="23"/>
  <c r="K1109" i="23"/>
  <c r="G1109" i="23"/>
  <c r="D1109" i="23"/>
  <c r="K1107" i="23"/>
  <c r="G1107" i="23"/>
  <c r="D1107" i="23"/>
  <c r="G1105" i="23"/>
  <c r="G1102" i="23"/>
  <c r="G1099" i="23"/>
  <c r="G1096" i="23"/>
  <c r="G1093" i="23"/>
  <c r="G1090" i="23"/>
  <c r="K1087" i="23"/>
  <c r="G1087" i="23"/>
  <c r="D1087" i="23"/>
  <c r="K1085" i="23"/>
  <c r="G1085" i="23"/>
  <c r="K1082" i="23"/>
  <c r="G1082" i="23"/>
  <c r="D1082" i="23"/>
  <c r="G1080" i="23"/>
  <c r="D1080" i="23"/>
  <c r="K1080" i="23"/>
  <c r="K1078" i="23"/>
  <c r="G1078" i="23"/>
  <c r="D1078" i="23"/>
  <c r="K900" i="23"/>
  <c r="G900" i="23"/>
  <c r="D900" i="23"/>
  <c r="K887" i="23"/>
  <c r="G887" i="23"/>
  <c r="D887" i="23"/>
  <c r="K878" i="23"/>
  <c r="G878" i="23"/>
  <c r="D878" i="23"/>
  <c r="G870" i="23"/>
  <c r="D870" i="23"/>
  <c r="K861" i="23"/>
  <c r="G861" i="23"/>
  <c r="D861" i="23"/>
  <c r="K711" i="23"/>
  <c r="K720" i="23"/>
  <c r="K728" i="23"/>
  <c r="K743" i="23"/>
  <c r="K759" i="23"/>
  <c r="K808" i="23"/>
  <c r="K818" i="23"/>
  <c r="K828" i="23"/>
  <c r="K836" i="23"/>
  <c r="K852" i="23"/>
  <c r="K844" i="23"/>
  <c r="G852" i="23"/>
  <c r="D852" i="23"/>
  <c r="G844" i="23"/>
  <c r="D844" i="23"/>
  <c r="G836" i="23"/>
  <c r="D836" i="23"/>
  <c r="G828" i="23"/>
  <c r="D828" i="23"/>
  <c r="G818" i="23"/>
  <c r="D818" i="23"/>
  <c r="G808" i="23"/>
  <c r="D808" i="23"/>
  <c r="G759" i="23"/>
  <c r="G751" i="23"/>
  <c r="D751" i="23"/>
  <c r="G743" i="23"/>
  <c r="D743" i="23"/>
  <c r="G728" i="23"/>
  <c r="D728" i="23"/>
  <c r="G720" i="23"/>
  <c r="D720" i="23"/>
  <c r="G711" i="23"/>
  <c r="D711" i="23"/>
  <c r="G431" i="23"/>
  <c r="G427" i="23"/>
  <c r="G415" i="23"/>
  <c r="G412" i="23"/>
  <c r="G398" i="23"/>
  <c r="G79" i="23"/>
  <c r="D79" i="23"/>
  <c r="D85" i="23"/>
  <c r="D76" i="23"/>
  <c r="G73" i="23"/>
  <c r="D73" i="23"/>
  <c r="G70" i="23"/>
  <c r="D70" i="23"/>
  <c r="G67" i="23"/>
  <c r="D67" i="23"/>
  <c r="G59" i="23"/>
  <c r="D59" i="23"/>
  <c r="D48" i="23"/>
  <c r="G48" i="23"/>
  <c r="D40" i="23"/>
  <c r="D37" i="23"/>
  <c r="D34" i="23"/>
  <c r="D31" i="23"/>
  <c r="D28" i="23"/>
  <c r="D25" i="23"/>
  <c r="D19" i="23"/>
  <c r="D14" i="23"/>
  <c r="D11" i="23"/>
  <c r="D1258" i="23" l="1"/>
  <c r="K914" i="23"/>
  <c r="G519" i="23"/>
  <c r="G145" i="23"/>
  <c r="G914" i="23"/>
  <c r="D145" i="23"/>
  <c r="D914" i="23"/>
  <c r="D1168" i="23"/>
  <c r="K1258" i="23"/>
  <c r="G1258" i="23"/>
  <c r="G1168" i="23"/>
  <c r="K1168" i="23"/>
  <c r="G4" i="23" l="1"/>
  <c r="D4" i="23"/>
  <c r="K11" i="23"/>
  <c r="K145" i="23" s="1"/>
  <c r="K4" i="23" s="1"/>
</calcChain>
</file>

<file path=xl/sharedStrings.xml><?xml version="1.0" encoding="utf-8"?>
<sst xmlns="http://schemas.openxmlformats.org/spreadsheetml/2006/main" count="7020" uniqueCount="1491">
  <si>
    <t>№ п/п</t>
  </si>
  <si>
    <t>Наименование объекта</t>
  </si>
  <si>
    <t>г. Корсаков, ул. Первомайская, д. 37</t>
  </si>
  <si>
    <t>г. Корсаков, ул. Флотская, д. 60</t>
  </si>
  <si>
    <t>с. Зональное, ул. Строительная, д. 10</t>
  </si>
  <si>
    <t>г. Южно-Сахалинск, ул. Сахалинская, д. 55</t>
  </si>
  <si>
    <t>г. Южно-Сахалинск, ул. Чехова, д. 31</t>
  </si>
  <si>
    <t>г. Южно-Сахалинск, ул. Курильская, д. 43, лит. А</t>
  </si>
  <si>
    <t>г. Южно-Сахалинск, ул. Ленина, д. 182</t>
  </si>
  <si>
    <t>г. Углегорск, ул. Победы, д. 169, лит. А</t>
  </si>
  <si>
    <t>г. Углегорск, ул. Портовая, д. 30</t>
  </si>
  <si>
    <t>г. Углегорск, ул. Приморская, д. 15</t>
  </si>
  <si>
    <t>г. Углегорск, ул. Приморская, д. 17</t>
  </si>
  <si>
    <t>г. Углегорск, ул. Приморская, д. 45</t>
  </si>
  <si>
    <t>г. Углегорск, ул. Приморская, д. 47</t>
  </si>
  <si>
    <t>г. Углегорск, ул. Приморская, д. 49</t>
  </si>
  <si>
    <t>г. Томари, ул. Ломоносова, д. 10</t>
  </si>
  <si>
    <t>г. Томари, ул. Ломоносова, д. 22</t>
  </si>
  <si>
    <t>г. Оха, ул. Красных Партизан, д. 20</t>
  </si>
  <si>
    <t>с. Шебунино, пер. Дачный 1-й, д. 2</t>
  </si>
  <si>
    <t>г. Александровск-Сахалинский, ул. Кирова, д. 51</t>
  </si>
  <si>
    <t>г. Александровск-Сахалинский, ул. Кирова, д. 75</t>
  </si>
  <si>
    <t>с. Мгачи, ул. Первомайская, д. 30</t>
  </si>
  <si>
    <t>с. Мгачи, ул. Первомайская, д. 52, лит. А</t>
  </si>
  <si>
    <t>с. Михайловка, пер. Клубный, д. 7, лит. А</t>
  </si>
  <si>
    <t>с. Михайловка, ул. Первомайская, д. 6</t>
  </si>
  <si>
    <t>г. Шахтерск, ул. Ленина, д. 11</t>
  </si>
  <si>
    <t>г. Шахтерск, ул. Ленина, д. 5</t>
  </si>
  <si>
    <t>г. Шахтерск, ул. Ленина, д. 7</t>
  </si>
  <si>
    <t>г. Шахтерск, ул. Ленина, д. 9</t>
  </si>
  <si>
    <t>г. Поронайск, ул. Невельская, д. 56</t>
  </si>
  <si>
    <t>г. Поронайск, ул. Сахалинская, д. 1</t>
  </si>
  <si>
    <t>г. Южно-Сахалинск, пр-кт Коммунистический, д. 74</t>
  </si>
  <si>
    <t>г. Южно-Сахалинск, ул. Имени Антона Буюклы, д. 78</t>
  </si>
  <si>
    <t>Теплоснабжение</t>
  </si>
  <si>
    <t>Водоснабжение</t>
  </si>
  <si>
    <t>Водоотведение</t>
  </si>
  <si>
    <t>ПСД</t>
  </si>
  <si>
    <t>Электроснабжение</t>
  </si>
  <si>
    <t>с. Огоньки, ул. Школьная, д. 18, лит. А</t>
  </si>
  <si>
    <t>г. Южно-Сахалинск, п/р. Луговое, ул. Дружбы, д. 6</t>
  </si>
  <si>
    <t>г. Александровск-Сахалинский, ул. Герцена, д. 2, лит. Б</t>
  </si>
  <si>
    <t>г. Александровск-Сахалинский, ул. Тимирязева, д. 1</t>
  </si>
  <si>
    <t>г. Александровск-Сахалинский, ул. Тимирязева, д. 2</t>
  </si>
  <si>
    <t>с. Михайловка, пер. Клубный, д. 6, лит. А</t>
  </si>
  <si>
    <t>с. Михайловка, пер. Клубный, д.7</t>
  </si>
  <si>
    <t>с. Михайловка, ул. Первомайская, д. 4</t>
  </si>
  <si>
    <t>г. Александровск-Сахалинский, ул. Тимирязева, д. 2, лит. А</t>
  </si>
  <si>
    <t>г. Александровск-Сахалинский, ул. Тимирязева, д. 3</t>
  </si>
  <si>
    <t>г. Александровск-Сахалинский, ул. Тимирязева, д. 4 лит. А</t>
  </si>
  <si>
    <t>г. Александровск-Сахалинский, ул. Дзержинского, д. 2</t>
  </si>
  <si>
    <t>г. Александровск-Сахалинский, ул. Ленина, д. 8</t>
  </si>
  <si>
    <t>с. Мгачи, ул. Ново – Мгачинская, д. 13</t>
  </si>
  <si>
    <t>с. Мгачи, ул. Советская, д. 24</t>
  </si>
  <si>
    <t>с. Мгачи, ул. Советская, д. 28</t>
  </si>
  <si>
    <t>г. Александровск-Сахалинский, ул. Кондрашкина, д. 17</t>
  </si>
  <si>
    <t>г. Александровск-Сахалинский, ул. Ленина, д. 11</t>
  </si>
  <si>
    <t>г. Александровск-Сахалинский, ул. Смирных, д. 9</t>
  </si>
  <si>
    <t>г. Анива, ул. Дьяконова, д. 17</t>
  </si>
  <si>
    <t>г. Анива, ул. Кирова, д. 34</t>
  </si>
  <si>
    <t>г. Анива, ул. Октябрьская, д. 21</t>
  </si>
  <si>
    <t>с. Таранай, ул. Новая, д. 1</t>
  </si>
  <si>
    <t>с. Таранай, ул. Центральная, д. 7, лит. Б</t>
  </si>
  <si>
    <t>с. Троицкое, ул. Советская, д. 5</t>
  </si>
  <si>
    <t>г. Анива, ул. Кирова, д. 32</t>
  </si>
  <si>
    <t>г. Анива, ул. Кирова, д. 36</t>
  </si>
  <si>
    <t>г. Анива, ул. Кирова, д. 6</t>
  </si>
  <si>
    <t>г. Анива, ул. Кирова, д. 8</t>
  </si>
  <si>
    <t>г. Анива, ул. Ленина, д. 21</t>
  </si>
  <si>
    <t>г. Анива, ул. Ленина, д. 47</t>
  </si>
  <si>
    <t>г. Анива, ул. Октябрьская, д. 24</t>
  </si>
  <si>
    <t>с. Мицулевка, ул. Железнодорожная, д. 4</t>
  </si>
  <si>
    <t>с. Огоньки, ул. Школьная, д. 4, лит. А</t>
  </si>
  <si>
    <t>с. Таранай, ул. Совхозная, д. 6</t>
  </si>
  <si>
    <t>с. Троицкое, ул. Молодежная, д. 16</t>
  </si>
  <si>
    <t>с. Троицкое, ул. Центральная, д. 32</t>
  </si>
  <si>
    <t>с. Троицкое, ул. Центральная, д. 36</t>
  </si>
  <si>
    <t>пгт. Бошняково, ул. Новостройка, д. 21</t>
  </si>
  <si>
    <t>г. Долинск, ул. Вилкова, д. 1</t>
  </si>
  <si>
    <t>г. Долинск, ул. Владивостокская, д. 24</t>
  </si>
  <si>
    <t>г. Долинск, ул. Ленина, д. 21</t>
  </si>
  <si>
    <t>г. Долинск, ул. Пионерская, д. 13</t>
  </si>
  <si>
    <t>с. Сокол, ул. Чкалова, д. 32</t>
  </si>
  <si>
    <t>с. Углезаводск, ул. Новая, д. 12</t>
  </si>
  <si>
    <t>с. Углезаводск, ул. Торговая, д. 4, лит. Б</t>
  </si>
  <si>
    <t>с. Быков, ул. Горняцкая, д. 5, лит. А</t>
  </si>
  <si>
    <t>с. Быков, ул. Горняцкая, д. 5, лит. Б</t>
  </si>
  <si>
    <t>с. Быков, ул. Шахтерская, д. 12</t>
  </si>
  <si>
    <t>с. Быков, ул. Шахтерская, д. 14</t>
  </si>
  <si>
    <t>с. Стародубское, ул. Лобанова, д. 3, лит. А</t>
  </si>
  <si>
    <t>с. Стародубское, ул. Лобанова, д. 5, лит. А</t>
  </si>
  <si>
    <t>с. Стародубское, ул. Мухина, д. 6</t>
  </si>
  <si>
    <t>с. Стародубское, ул. Набережная, д. 27</t>
  </si>
  <si>
    <t>с. Сокол, ул. Железнодорожная, д. 5</t>
  </si>
  <si>
    <t>с. Сокол, ул. Железнодорожная, д. 3</t>
  </si>
  <si>
    <t>г. Долинск, ул. Пионерская, д. 2, лит. Б</t>
  </si>
  <si>
    <t>г. Корсаков,  б-р Приморский, д. 12</t>
  </si>
  <si>
    <t>г. Корсаков,  б-р Приморский, д. 8</t>
  </si>
  <si>
    <t>г. Корсаков,  б-р Приморский, д. 9</t>
  </si>
  <si>
    <t>г. Корсаков, б-р Приморский, д. 10</t>
  </si>
  <si>
    <t>г. Корсаков, ул. Гвардейская, д. 97</t>
  </si>
  <si>
    <t>г. Корсаков, ул. Корсаковская, д. 28</t>
  </si>
  <si>
    <t>г. Корсаков, ул. Корсаковская, д. 32</t>
  </si>
  <si>
    <t>г. Корсаков, ул. Лермонтова, д. 3</t>
  </si>
  <si>
    <t>г. Корсаков, ул. Морская, д. 2</t>
  </si>
  <si>
    <t>г. Корсаков, ул. Нагорная, д. 5 корп. 1</t>
  </si>
  <si>
    <t>г. Корсаков, ул. Нагорная, д. 60</t>
  </si>
  <si>
    <t>г. Корсаков, ул. Нагорная, д. 60, лит. А</t>
  </si>
  <si>
    <t>г. Корсаков, ул. Нагорная, д. 62</t>
  </si>
  <si>
    <t xml:space="preserve">г. Корсаков, ул. Нагорная, д. 64 </t>
  </si>
  <si>
    <t>г. Корсаков, ул. Нагорная, д. 64 лит. Б</t>
  </si>
  <si>
    <t>г. Корсаков, ул. Нагорная, д. 68, лит. В</t>
  </si>
  <si>
    <t>г. Корсаков, ул. Невельская, д. 18</t>
  </si>
  <si>
    <t>г. Корсаков, ул. Окружная, д. 9</t>
  </si>
  <si>
    <t>г. Корсаков, ул. Первомайская, д. 51</t>
  </si>
  <si>
    <t>г. Корсаков, ул. Парковая, д. 11</t>
  </si>
  <si>
    <t>г. Корсаков, ул. Флотская, д. 15</t>
  </si>
  <si>
    <t>г. Корсаков, ул. Флотская, д. 60, лит. А</t>
  </si>
  <si>
    <t>г. Корсаков, ул. Флотская, д. 62, лит. А</t>
  </si>
  <si>
    <t>г. Корсаков, ул. Флотская, д. 62, лит. Б</t>
  </si>
  <si>
    <t>с. Соловьевка, ул. Новая, д. 8</t>
  </si>
  <si>
    <t>с. Соловьевка, ул. Центральная, д. 32</t>
  </si>
  <si>
    <t>г. Корсаков, б-р. Приморский, д. 5, корп. 1</t>
  </si>
  <si>
    <t>г. Корсаков, ул. Гвардейская, д. 95</t>
  </si>
  <si>
    <t>г. Корсаков, ул. Корсаковская, д. 146</t>
  </si>
  <si>
    <t>г. Корсаков, ул. Корсаковская, д. 36</t>
  </si>
  <si>
    <t>г. Корсаков, ул. Корсаковская, д. 44</t>
  </si>
  <si>
    <t>г. Корсаков, ул. Парковая, д. 13</t>
  </si>
  <si>
    <t>г. Корсаков, ул. Парковая, д. 15, корп. 1</t>
  </si>
  <si>
    <t>г. Корсаков, ул. Парковая, д. 9</t>
  </si>
  <si>
    <t>г. Корсаков, ул. Пролетарская, д. 10</t>
  </si>
  <si>
    <t>г. Корсаков, ул. Свердлова, д. 71</t>
  </si>
  <si>
    <t>г. Корсаков, ул. Серафимовича, д. 35, лит. А</t>
  </si>
  <si>
    <t>г. Корсаков, ул. Советская, д. 34</t>
  </si>
  <si>
    <t>г. Корсаков, ул. Советская, д. 53</t>
  </si>
  <si>
    <t>г. Корсаков, ул. Советская, д. 55</t>
  </si>
  <si>
    <t>г. Корсаков, ул. Федько, д. 6</t>
  </si>
  <si>
    <t>г. Корсаков, ул. Флотская, д. 17</t>
  </si>
  <si>
    <t>г. Корсаков, ул. Флотская, д. 53</t>
  </si>
  <si>
    <t>г. Корсаков, ул. Флотская, д. 53, корп. 1</t>
  </si>
  <si>
    <t>г. Корсаков, ул. Чапаева, д. 3, лит. А</t>
  </si>
  <si>
    <t>с. Охотское, ул. Лесная, д. 14</t>
  </si>
  <si>
    <t>с. Раздольное, ул. Окружная, д. 14</t>
  </si>
  <si>
    <t>г. Корсаков, ул. Окружная, д. 118, лит. Б</t>
  </si>
  <si>
    <t>с. Соловьевка, ул. Центральная, д. 29</t>
  </si>
  <si>
    <t>с. Чапаево, ул. Центральная, д. 11</t>
  </si>
  <si>
    <t>г. Курильск, ул. 60 лет Октября, д. 2</t>
  </si>
  <si>
    <t>г. Курильск, ул. 60 лет Октября, д. 3</t>
  </si>
  <si>
    <t>г. Курильск, ул. 60 лет Октября, д. 8</t>
  </si>
  <si>
    <t>г. Курильск, ул. 60 лет Октября, д. 9</t>
  </si>
  <si>
    <t>г. Курильск, ул. Заречная, д. 3</t>
  </si>
  <si>
    <t>г. Курильск, ул. Заречная, д. 5</t>
  </si>
  <si>
    <t>г. Макаров, ул. Ильичева, д. 2</t>
  </si>
  <si>
    <t>г. Макаров, ул. Милютина, д. 28</t>
  </si>
  <si>
    <t>г. Макаров, ул. Хабаровская, д. 11</t>
  </si>
  <si>
    <t>г. Макаров, ул. Ильичева, д. 13</t>
  </si>
  <si>
    <t>г. Макаров, ул. 50 лет ВЛКСМ, д. 1</t>
  </si>
  <si>
    <t>г. Невельск, ул. Вакканай, д. 6</t>
  </si>
  <si>
    <t>г. Невельск, ул. Победы, д. 14</t>
  </si>
  <si>
    <t>г. Невельск, ул. Победы, д. 19</t>
  </si>
  <si>
    <t>г. Невельск, ул. Советская, д. 3</t>
  </si>
  <si>
    <t>г. Невельск, ул. Советская, д. 5</t>
  </si>
  <si>
    <t>г. Невельск, ул. Чехова, д. 20</t>
  </si>
  <si>
    <t>г. Невельск, ул. Школьная, д. 95, лит. А</t>
  </si>
  <si>
    <t>г. Невельск, ул. Яна Фабрициуса, д. 53</t>
  </si>
  <si>
    <t>с. Горнозаводск, ул. Центральная, д. 98</t>
  </si>
  <si>
    <t>с. Горнозаводск, ул. Шахтовая, д. 13</t>
  </si>
  <si>
    <t>с. Шебунино, ул. Дачная, д. 5</t>
  </si>
  <si>
    <t>г. Невельск, ул. Железнодорожная, д. 49</t>
  </si>
  <si>
    <t>г. Невельск, ул. Железнодорожная, д. 51</t>
  </si>
  <si>
    <t>г. Невельск, ул. Школьная, д. 93</t>
  </si>
  <si>
    <t>с. Горнозаводск, ул. Советская, д. 61, лит. А</t>
  </si>
  <si>
    <t>г. Невельск, ул. Школьная, д. 89</t>
  </si>
  <si>
    <t>пгт. Ноглики, ул. 15 Мая, д. 36, лит. А</t>
  </si>
  <si>
    <t>пгт. Ноглики, ул. 15 Мая, д. 36, лит. Б</t>
  </si>
  <si>
    <t>пгт. Ноглики, ул. Н. Репина, д. 5</t>
  </si>
  <si>
    <t>пгт. Ноглики, ул. Пограничная, д. 1</t>
  </si>
  <si>
    <t>пгт. Ноглики, ул. Комсомольская, д. 39</t>
  </si>
  <si>
    <t xml:space="preserve">пгт. Ноглики, ул. Советская, д. 61 </t>
  </si>
  <si>
    <t>пгт. Ноглики, ул. Академика Штернберга, д. 4, лит. А</t>
  </si>
  <si>
    <t xml:space="preserve"> г. Оха, ул. 50 лет Октября, д. 25, корп. 8</t>
  </si>
  <si>
    <t xml:space="preserve"> г. Оха, ул. 50 лет Октября, д. 28</t>
  </si>
  <si>
    <t xml:space="preserve"> г. Оха, ул. 50 лет Октября, д. 28, корп. 1</t>
  </si>
  <si>
    <t>c. Москальво. ул. Советская. д. 53</t>
  </si>
  <si>
    <t>c. Москальво. ул. Советская. д. 54</t>
  </si>
  <si>
    <t>г. Оха, ул. 50 лет Октября, д. 25, корп. 9</t>
  </si>
  <si>
    <t>г. Оха, ул. 50 лет Октября, д. 28, корп. 7</t>
  </si>
  <si>
    <t>г. Оха, ул. 50 лет Октября, д. 30, корп. 1</t>
  </si>
  <si>
    <t>г. Оха, ул. 60 лет СССР, д. 17</t>
  </si>
  <si>
    <t>г. Оха, ул. 60 лет СССР, д. 36</t>
  </si>
  <si>
    <t>г. Оха, ул. Дзержинского, д. 24</t>
  </si>
  <si>
    <t>г. Оха, ул. Охотская, д. 7</t>
  </si>
  <si>
    <t>г. Оха, уч-к. 2-й, д. 1, лит. А</t>
  </si>
  <si>
    <t>г. Оха, уч-к. 2-й, д. 2, лит. А</t>
  </si>
  <si>
    <t>г. Оха, уч-к. 2-й, д. 3, лит. А</t>
  </si>
  <si>
    <t>г. Оха, уч-к. 2-й, д. 4, лит. А</t>
  </si>
  <si>
    <t>с. Восточное, ул. Береговая, д. 11</t>
  </si>
  <si>
    <t>с. Восточное, ул. Береговая, д. 13</t>
  </si>
  <si>
    <t>с. Восточное, ул. Береговая, д. 15</t>
  </si>
  <si>
    <t>с. Восточное, ул. Береговая, д. 7</t>
  </si>
  <si>
    <t>с. Восточное, ул. Береговая, д. 9</t>
  </si>
  <si>
    <t>с. Восточное, ул. Школьная, д. 8, лит. А</t>
  </si>
  <si>
    <t>с. Москальво, ул. Советская, д. 56</t>
  </si>
  <si>
    <t xml:space="preserve">г. Оха, ул. Красноармейская, д. 14 </t>
  </si>
  <si>
    <t>г. Оха, ул. 60 лет СССР, д. 38, корп. 1</t>
  </si>
  <si>
    <t>г. Оха, ул. 60 лет СССР, д. 36, корп. 1</t>
  </si>
  <si>
    <t>г. Оха, ул. Дзержинского, д. 31</t>
  </si>
  <si>
    <t>г. Оха, ул. 60 лет СССР, д. 36, корп. 2</t>
  </si>
  <si>
    <t>г. Оха, ул. 60 лет СССР, д. 38</t>
  </si>
  <si>
    <t>г. Оха, ул. 60 лет СССР, д. 38, корп. 3</t>
  </si>
  <si>
    <t>г. Оха, п/р. Лагури, ул. Ленина, д. 17</t>
  </si>
  <si>
    <t>г. Поронайск, ул. Дружбы, д. 1</t>
  </si>
  <si>
    <t>г. Поронайск, ул. Ленина, д. 18</t>
  </si>
  <si>
    <t>г. Поронайск, ул. Молодежная, д. 10</t>
  </si>
  <si>
    <t>г. Поронайск, ул. Молодежная, д. 8</t>
  </si>
  <si>
    <t>г. Поронайск, ул. Октябрьская, д. 6</t>
  </si>
  <si>
    <t>г. Поронайск, ул. Сахалинская, д. 27</t>
  </si>
  <si>
    <t>г. Поронайск, ул. Сахалинская, д. 5</t>
  </si>
  <si>
    <t>пгт. Вахрушев, ул. Речная, д. 13</t>
  </si>
  <si>
    <t>пгт. Вахрушев, ул. Речная, д. 14</t>
  </si>
  <si>
    <t>пгт. Вахрушев, ул. Центральная, д. 85</t>
  </si>
  <si>
    <t>г. Поронайск, ул. Октябрьская, д. 75</t>
  </si>
  <si>
    <t>г. Поронайск, пер. Советский, д. 3</t>
  </si>
  <si>
    <t>г. Поронайск, ул. 40 лет ВЛКСМ, д. 18</t>
  </si>
  <si>
    <t>г. Северо-Курильск, ул. 60 лет Октября, д. 10</t>
  </si>
  <si>
    <t>г. Северо-Курильск, ул. 60 лет Октября, д. 12</t>
  </si>
  <si>
    <t>г. Северо-Курильск, ул. 60 лет Октября, д. 15</t>
  </si>
  <si>
    <t>г. Северо-Курильск, ул. 60 лет Октября, д. 7, лит. А</t>
  </si>
  <si>
    <t>г. Северо-Курильск, ул. Вилкова, д. 7, лит. Б</t>
  </si>
  <si>
    <t>г. Северо-Курильск, ул. Сахалинская, д. 44, лит. А</t>
  </si>
  <si>
    <t>г. Северо-Курильск, ул. Сахалинская, д. 46, лит. А</t>
  </si>
  <si>
    <t>г. Северо-Курильск, ул. Сахалинская, д. 73, лит. А</t>
  </si>
  <si>
    <t>г. Северо-Курильск, ул. Шутова,  д. 1</t>
  </si>
  <si>
    <t>г. Северо-Курильск, ул. Шутова,  д.20</t>
  </si>
  <si>
    <t>г. Северо-Курильск, ул. Шутова, д. 4</t>
  </si>
  <si>
    <t>г. Северо-Курильск, ул. Шутова, д. 4, лит. А</t>
  </si>
  <si>
    <t>г. Северо-Курильск, ул. 60 лет Октября, д. 14</t>
  </si>
  <si>
    <t>г. Северо-Курильск, ул. Сахалинская, д. 77</t>
  </si>
  <si>
    <t>пгт. Смирных, ул. 3 микрорайон, д. 16</t>
  </si>
  <si>
    <t>пгт. Смирных, ул. 3 микрорайон, д. 20</t>
  </si>
  <si>
    <t>пгт. Смирных, ул. 3 микрорайон, д. 1, лит. Б</t>
  </si>
  <si>
    <t>пгт. Смирных, ул. 60 лет СССР, д. 6</t>
  </si>
  <si>
    <t>пгт. Смирных, ул. Западная, д. 10</t>
  </si>
  <si>
    <t>пгт. Смирных, ул. Западная, д. 10, корп. 2</t>
  </si>
  <si>
    <t>пгт. Смирных, ул. Западная, д. 10, корп. 3</t>
  </si>
  <si>
    <t>пгт. Смирных, ул. Западная, д. 11</t>
  </si>
  <si>
    <t>пгт. Смирных, ул. Западная, д. 6</t>
  </si>
  <si>
    <t>пгт. Смирных, ул. Ленина, д. 55</t>
  </si>
  <si>
    <t>пгт. Смирных, ул. Чехова, д. 17</t>
  </si>
  <si>
    <t>пгт. Смирных, ул. Чехова, д. 21, лит. А</t>
  </si>
  <si>
    <t>пгт. Смирных, ул. Чехова, д. 25</t>
  </si>
  <si>
    <t>пгт. Смирных, ул. Чехова, д. 27</t>
  </si>
  <si>
    <t>пгт. Смирных, ул. Чехова, д. 11, лит. А</t>
  </si>
  <si>
    <t>пгт. Смирных, ул. Чехова, д. 9</t>
  </si>
  <si>
    <t>пгт. Смирных, ул. Пирогова, д. 14</t>
  </si>
  <si>
    <t>с. Онор, ул. Суворова, д. 2, лит. А</t>
  </si>
  <si>
    <t>пгт. Смирных, ул. Пирогова, д. 16</t>
  </si>
  <si>
    <t>пгт. Смирных, ул. Чехова, д. 1, лит. А</t>
  </si>
  <si>
    <t>пгт. Смирных, ул. Чехова, д. 19</t>
  </si>
  <si>
    <t>пгт. Смирных, ул. Горького, д. 18</t>
  </si>
  <si>
    <t>пгт. Смирных, ул. Западная, д. 4</t>
  </si>
  <si>
    <t>пгт. Смирных, ул. Горького, д. 20</t>
  </si>
  <si>
    <t>пгт. Смирных, ул. Западная, д. 8</t>
  </si>
  <si>
    <t>с. Красногорск, ул. Калинина, д. 15</t>
  </si>
  <si>
    <t>с. Красногорск, ул. Калинина, д. 18</t>
  </si>
  <si>
    <t>с. Красногорск, ул. Карла Маркса, д. 114, лит. А</t>
  </si>
  <si>
    <t>с. Красногорск, ул. Карла Маркса, д. 40</t>
  </si>
  <si>
    <t>с. Красногорск, ул. Карла Маркса, д. 84</t>
  </si>
  <si>
    <t>г. Томари, ул. Садовая, д. 43</t>
  </si>
  <si>
    <t>г. Томари, ул. Ломоносова, д. 4, лит. А</t>
  </si>
  <si>
    <t>г. Томари, ул. Новая, д. 3</t>
  </si>
  <si>
    <t>г. Томари, ул. Садовая, д. 40</t>
  </si>
  <si>
    <t>г. Томари, ул. Юбилейная, д. 3</t>
  </si>
  <si>
    <t>г. Томари, ул. Юбилейная, д. 11</t>
  </si>
  <si>
    <t>г. Томари, ул. Юбилейная, д. 25, лит. А</t>
  </si>
  <si>
    <t>г. Томари, ул. Юбилейная, д. 27</t>
  </si>
  <si>
    <t>с. Красногорск, ул. Карла Маркса, д. 100</t>
  </si>
  <si>
    <t>с. Пензенское, ул. Вокзальная, д. 1</t>
  </si>
  <si>
    <t>с. Черемшанка, ул. Ленина, д. 1, лит. А</t>
  </si>
  <si>
    <t>с. Черемшанка, ул. Ленина, д. 2, лит. А</t>
  </si>
  <si>
    <t>пгт. Тымовское, ул. Библиотечная, ул. 6, лит. А</t>
  </si>
  <si>
    <t>пгт. Тымовское, ул. Харитонова, д. 18</t>
  </si>
  <si>
    <t>пгт. Тымовское, ул. Харитонова, д. 19</t>
  </si>
  <si>
    <t>пгт. Тымовское, ул. Харитонова, д. 20</t>
  </si>
  <si>
    <t>с. Адо-Тымово, ул. Новая, д. 1</t>
  </si>
  <si>
    <t>с. Адо-Тымово, ул. Новая, д. 2</t>
  </si>
  <si>
    <t>с. Адо-Тымово, ул. Новая, д. 3</t>
  </si>
  <si>
    <t>с. Кировское, ул. Центральная, д. 63</t>
  </si>
  <si>
    <t>пгт. Тымовское, ул. Библиотечная, д. 4</t>
  </si>
  <si>
    <t>пгт. Тымовское, ул. Библиотечная, д. 4, лит. А</t>
  </si>
  <si>
    <t>пгт. Тымовское, ул. Красноармейская, д. 12</t>
  </si>
  <si>
    <t>пгт. Тымовское, ул. Кировская, д. 91, лит. А</t>
  </si>
  <si>
    <t>пгт. Тымовское, ул. Новая, д. 10</t>
  </si>
  <si>
    <t>с. Воскресеновка, ул. Школьная, д. 3</t>
  </si>
  <si>
    <t>с. Зональное, ул. Строительная, д. 13</t>
  </si>
  <si>
    <t>г. Углегорск, ул. 8 Марта, д. 22</t>
  </si>
  <si>
    <t>г. Углегорск, ул. Бошняка, д. 8</t>
  </si>
  <si>
    <t>г. Углегорск, ул. Комсомольская, д. 2</t>
  </si>
  <si>
    <t>г. Углегорск, ул. Комсомольская, д. 4</t>
  </si>
  <si>
    <t>г. Углегорск, ул. Пионерская, д. 2</t>
  </si>
  <si>
    <t>г. Углегорск, ул. Победы, д. 140</t>
  </si>
  <si>
    <t>г. Углегорск, ул. Победы, д. 146</t>
  </si>
  <si>
    <t>г. Углегорск, ул. Победы, д. 148</t>
  </si>
  <si>
    <t>г. Углегорск, ул. Победы, д. 150</t>
  </si>
  <si>
    <t>г. Углегорск, ул. Победы, д. 152</t>
  </si>
  <si>
    <t>г. Углегорск, ул. Победы, д. 172</t>
  </si>
  <si>
    <t>г. Углегорск, ул. Приморская, д. 19</t>
  </si>
  <si>
    <t>г. Углегорск, ул. Родниковая, д. 6</t>
  </si>
  <si>
    <t>г. Холмск, ул. Победы, д. 22</t>
  </si>
  <si>
    <t>г. Холмск, ул. Советская, д. 107</t>
  </si>
  <si>
    <t>г. Холмск, ул. Советская, д. 134</t>
  </si>
  <si>
    <t>г. Холмск, ул. Советская, д. 67</t>
  </si>
  <si>
    <t>г. Холмск, ул. Советская, д. 77</t>
  </si>
  <si>
    <t>г. Холмск, ул. Советская, д. 79</t>
  </si>
  <si>
    <t>г. Холмск, ул. Советская, д. 88</t>
  </si>
  <si>
    <t>г. Холмск, ул. Советская, д. 96</t>
  </si>
  <si>
    <t>с. Чехов, ул. Северная, д. 26</t>
  </si>
  <si>
    <t>с. Костромское, ул. Огородная, д. 4, лит. А</t>
  </si>
  <si>
    <t>г. Холмск, ул. Чехова, д. 70</t>
  </si>
  <si>
    <t>г. Холмск, ул. Волкова, д. 20</t>
  </si>
  <si>
    <t>г. Холмск, пер. Восточный, д. 33</t>
  </si>
  <si>
    <t>г. Холмск, ул. Победы, д. 30</t>
  </si>
  <si>
    <t>г. Холмск, ул. 60 лет Октября, д. 5</t>
  </si>
  <si>
    <t>с. Чехов, ул. Северная, д. 38</t>
  </si>
  <si>
    <t>с. Чехов, ул. Парковая, д. 29</t>
  </si>
  <si>
    <t>с. Чехов, ул. Первомайская, д. 4</t>
  </si>
  <si>
    <t>с. Чехов, ул. Первомайская, д. 1</t>
  </si>
  <si>
    <t>г. Холмск, ул. Комсомольская, д. 8</t>
  </si>
  <si>
    <t>г. Холмск, ул. Школьная, д. 60, лит. А</t>
  </si>
  <si>
    <t>г. Холмск, ул. Героев, д. 1</t>
  </si>
  <si>
    <t>г. Холмск, ул. Героев, д. 7</t>
  </si>
  <si>
    <t>г. Холмск, ул. Героев, д. 9</t>
  </si>
  <si>
    <t>с. Правда, ул. Речная, д. 49</t>
  </si>
  <si>
    <t>с. Правда, ул. Речная, д. 55</t>
  </si>
  <si>
    <t>с. Правда, ул. Школьная, д. 24, лит. А</t>
  </si>
  <si>
    <t>с. Правда, ул. Школьная, д. 26, лит. А</t>
  </si>
  <si>
    <t>г. Шахтерск, ул. Интернациональная, д. 25</t>
  </si>
  <si>
    <t>г. Шахтерск, ул. Интернациональная, д. 7</t>
  </si>
  <si>
    <t>г. Шахтерск, ул. Интернациональная, д. 8</t>
  </si>
  <si>
    <t xml:space="preserve">г. Шахтерск, ул. Ленина, д. 16 </t>
  </si>
  <si>
    <t>г. Шахтерск, ул. Октябрьская, д. 13</t>
  </si>
  <si>
    <t>г. Шахтерск, ул. Мира, д. 24</t>
  </si>
  <si>
    <t>г. Шахтерск, ул. Коммунистическая, д. 5</t>
  </si>
  <si>
    <t>г. Шахтерск, ул. Коммунистическая, д. 6</t>
  </si>
  <si>
    <t>г. Шахтерск, ул. Ленина, д. 17</t>
  </si>
  <si>
    <t>г. Шахтерск, ул. Мира, д. 1</t>
  </si>
  <si>
    <t>г. Шахтерск, ул. Мира, д. 12, лит. А</t>
  </si>
  <si>
    <t>г. Шахтерск, ул. Мира, д. 13</t>
  </si>
  <si>
    <t>г. Шахтерск, ул. Мира, д. 21</t>
  </si>
  <si>
    <t>г. Шахтерск, ул. Мира, д. 23</t>
  </si>
  <si>
    <t>г. Шахтерск, ул.Интернациональная, д. 2</t>
  </si>
  <si>
    <t>г. Шахтерск, ул.Интернациональная, д. 18</t>
  </si>
  <si>
    <t>г. Шахтерск, ул. Кирпичная, д. 23</t>
  </si>
  <si>
    <t>г. Шахтерск, ул. Кирпичная, д. 27</t>
  </si>
  <si>
    <t>г. Шахтерск, ул. Ленина, д. 14</t>
  </si>
  <si>
    <t>г. Шахтерск, ул. Ленина, д. 20</t>
  </si>
  <si>
    <t>пгт. Южно-Курильск, пр-кт Курильский, д. 15</t>
  </si>
  <si>
    <t>пгт. Южно-Курильск, ул. 60 лет ВЛКСМ, д. 5</t>
  </si>
  <si>
    <t>пгт. Южно-Курильск, ул. 60 лет ВЛКСМ, д. 7</t>
  </si>
  <si>
    <t>пгт. Южно-Курильск, пр-т Курильский, д.7</t>
  </si>
  <si>
    <t>пгт. Южно-Курильск, ул. Победы, д.17</t>
  </si>
  <si>
    <t>с. Крабозаводское, ул. Строительная, д. 1</t>
  </si>
  <si>
    <t>с. Малокурильское, ул. Терешкова, д. 2</t>
  </si>
  <si>
    <t>с. Малокурильское, ул. Черемушки, д. 12, лит. А</t>
  </si>
  <si>
    <t>с. Малокурильское, ул. Строительная, д. 30</t>
  </si>
  <si>
    <t>г. Южно-Сахалинск, б-р. им Анкудинова Федора Степановича, д. 11</t>
  </si>
  <si>
    <t>г. Южно-Сахалинск, б-р. им Анкудинова Федора Степановича, д. 9</t>
  </si>
  <si>
    <t>г. Южно-Сахалинск, п/р. Луговое, ул. 2-я Железнодорожная, д. 37</t>
  </si>
  <si>
    <t>г. Южно-Сахалинск, п/р. Луговое, ул. 2-я Набережная, д. 74</t>
  </si>
  <si>
    <t>г. Южно-Сахалинск, п/р. Луговое, ул. Дружбы, д. 1</t>
  </si>
  <si>
    <t>г. Южно-Сахалинск, п/р. Луговое, ул. Дружбы, д. 38</t>
  </si>
  <si>
    <t>г. Южно-Сахалинск, п/р. Луговое, ул. Дружбы, д. 93</t>
  </si>
  <si>
    <t>г. Южно-Сахалинск, п/р. Луговое, ул. Дружбы, д. 95</t>
  </si>
  <si>
    <t>г. Южно-Сахалинск, п/р. Луговое, ул. Дружбы, д. 96</t>
  </si>
  <si>
    <t>г. Южно-Сахалинск, п/р. Луговое, ул. Дружбы, д. 97</t>
  </si>
  <si>
    <t>г. Южно-Сахалинск, п/р. Луговое, ул. Дружбы, д. 98</t>
  </si>
  <si>
    <t>г. Южно-Сахалинск, п/р. Луговое, ул. Дружбы, д. 99</t>
  </si>
  <si>
    <t>г. Южно-Сахалинск, п/р. Луговое, ул. имени В.Гайдука, д. 1, лит. В</t>
  </si>
  <si>
    <t>г. Южно-Сахалинск, п/р. Луговое, ул. имени В.Гайдука, д. 50</t>
  </si>
  <si>
    <t>г. Южно-Сахалинск, п/р. Луговое, ул. Комарова, д. 3</t>
  </si>
  <si>
    <t>г. Южно-Сахалинск, п/р. Ново-Александровск, пер. Горького, д. 10</t>
  </si>
  <si>
    <t>г. Южно-Сахалинск, п/р. Ново-Александровск, пер. Горького, д. 10, лит. А</t>
  </si>
  <si>
    <t>г. Южно-Сахалинск, п/р. Ново-Александровск, пер. Горького, д. 12</t>
  </si>
  <si>
    <t>г. Южно-Сахалинск, п/р. Ново-Александровск, пер. Горького, д. 18</t>
  </si>
  <si>
    <t>г. Южно-Сахалинск, п/р. Ново-Александровск, пер. Железнодорожный, д. 13, лит. А</t>
  </si>
  <si>
    <t>г. Южно-Сахалинск, п/р. Ново-Александровск, пер. Железнодорожный, д. 2, лит. А</t>
  </si>
  <si>
    <t>г. Южно-Сахалинск, п/р. Ново-Александровск, пер. Железнодорожный, д. 3, лит. В</t>
  </si>
  <si>
    <t>г. Южно-Сахалинск, п/р. Ново-Александровск, ул. 2-я Красносельская, д. 32</t>
  </si>
  <si>
    <t>г. Южно-Сахалинск, п/р. Ново-Александровск, ул. 30 лет Победы, д. 10</t>
  </si>
  <si>
    <t>г. Южно-Сахалинск, п/р. Ново-Александровск, ул. 30 лет Победы, д. 10, лит. А</t>
  </si>
  <si>
    <t>г. Южно-Сахалинск, п/р. Ново-Александровск, ул. 30 лет Победы, д. 5, лит. А</t>
  </si>
  <si>
    <t>г. Южно-Сахалинск, п/р. Ново-Александровск, ул. 30 лет Победы, д. 5, лит. В</t>
  </si>
  <si>
    <t>г. Южно-Сахалинск, п/р. Ново-Александровск, ул. 30 лет Победы, д. 7</t>
  </si>
  <si>
    <t>г. Южно-Сахалинск, п/р. Ново-Александровск, ул. Восточная, д. 17</t>
  </si>
  <si>
    <t>г. Южно-Сахалинск, п/р. Ново-Александровск, ул. Восточная, д. 26</t>
  </si>
  <si>
    <t>г. Южно-Сахалинск, п/р. Ново-Александровск, ул. Науки, д. 5</t>
  </si>
  <si>
    <t>г. Южно-Сахалинск, п/р. Ново-Александровск, ул. Советская, д. 1</t>
  </si>
  <si>
    <t>г. Южно-Сахалинск, пер. Ангарский, д. 4</t>
  </si>
  <si>
    <t>г. Южно-Сахалинск, пер. Ангарский, д. 6</t>
  </si>
  <si>
    <t>г. Южно-Сахалинск, пр. Мира, д. 284, лит. А</t>
  </si>
  <si>
    <t>г. Южно-Сахалинск, пр-кт. Мира, д. 176</t>
  </si>
  <si>
    <t>г. Южно-Сахалинск, пр-кт. Мира, д. 182</t>
  </si>
  <si>
    <t>г. Южно-Сахалинск, пр-кт. Мира, д. 197</t>
  </si>
  <si>
    <t>г. Южно-Сахалинск, пр-кт. Мира, д. 197, лит. А</t>
  </si>
  <si>
    <t>г. Южно-Сахалинск, пр-кт. Мира, д. 243</t>
  </si>
  <si>
    <t>г. Южно-Сахалинск, пр-кт. Мира, д. 249</t>
  </si>
  <si>
    <t>г. Южно-Сахалинск, пр-кт. Мира, д. 280</t>
  </si>
  <si>
    <t>г. Южно-Сахалинск, пр-кт. Мира, д. 286, лит. А</t>
  </si>
  <si>
    <t>г. Южно-Сахалинск, пр-кт. Мира, д. 4</t>
  </si>
  <si>
    <t>г. Южно-Сахалинск, пр-кт. Мира, д. 60</t>
  </si>
  <si>
    <t>г. Южно-Сахалинск, пр-кт. Победы, д. 12</t>
  </si>
  <si>
    <t>г. Южно-Сахалинск, пр-кт. Победы, д. 14</t>
  </si>
  <si>
    <t>г. Южно-Сахалинск, пр-кт. Победы, д. 15</t>
  </si>
  <si>
    <t>г. Южно-Сахалинск, пр-кт. Победы, д. 29</t>
  </si>
  <si>
    <t>г. Южно-Сахалинск, пр-кт. Победы, д. 31</t>
  </si>
  <si>
    <t>г. Южно-Сахалинск, пр-кт. Победы, д. 53</t>
  </si>
  <si>
    <t>г. Южно-Сахалинск, пр-кт. Победы, д. 7, лит. А</t>
  </si>
  <si>
    <t>г. Южно-Сахалинск, пр-кт. Победы, д. 90</t>
  </si>
  <si>
    <t>г. Южно-Сахалинск, проезд. Спортивный, д. 17, лит. А</t>
  </si>
  <si>
    <t>г. Южно-Сахалинск, ул. Авиационная, д. 76</t>
  </si>
  <si>
    <t>г. Южно-Сахалинск, ул. Авиационная, д. 78</t>
  </si>
  <si>
    <t>г. Южно-Сахалинск, ул. Авиационная, д. 88</t>
  </si>
  <si>
    <t>г. Южно-Сахалинск, ул. Амурская, д. 1</t>
  </si>
  <si>
    <t>г. Южно-Сахалинск, ул. Амурская, д. 159</t>
  </si>
  <si>
    <t>г. Южно-Сахалинск, ул. Амурская, д. 184</t>
  </si>
  <si>
    <t>г. Южно-Сахалинск, ул. Амурская, д. 4</t>
  </si>
  <si>
    <t>г. Южно-Сахалинск, ул. Бумажная, д. 24, лит. А</t>
  </si>
  <si>
    <t>г. Южно-Сахалинск, ул. Вокзальная, д. 72</t>
  </si>
  <si>
    <t>г. Южно-Сахалинск, ул. Вокзальная, д. 9, лит. А</t>
  </si>
  <si>
    <t>г. Южно-Сахалинск, ул. Емельянова А.О., д. 33, лит. Б</t>
  </si>
  <si>
    <t>г. Южно-Сахалинск, ул. Емельянова А.О., д. 41, лит. А</t>
  </si>
  <si>
    <t>г. Южно-Сахалинск, ул. Железнодорожная, д. 16</t>
  </si>
  <si>
    <t>г. Южно-Сахалинск, ул. Железнодорожная, д. 18</t>
  </si>
  <si>
    <t>г. Южно-Сахалинск, ул. Железнодорожная, д. 18, лит. А</t>
  </si>
  <si>
    <t>г. Южно-Сахалинск, ул. Железнодорожная, д. 91, лит. А</t>
  </si>
  <si>
    <t>г. Южно-Сахалинск, ул. Им Космонавта Поповича, д. 22, лит. А</t>
  </si>
  <si>
    <t>г. Южно-Сахалинск, ул. Им Космонавта Поповича, д. 24, лит. А</t>
  </si>
  <si>
    <t>г. Южно-Сахалинск, ул. Им Космонавта Поповича, д. 51</t>
  </si>
  <si>
    <t>г. Южно-Сахалинск, ул. Имени П.А.Леонова, д. 42</t>
  </si>
  <si>
    <t>г. Южно-Сахалинск, ул. имени Ф.Э.Дзержинского, д. 12</t>
  </si>
  <si>
    <t>г. Южно-Сахалинск, ул. имени Ф.Э.Дзержинского, д. 44</t>
  </si>
  <si>
    <t>г. Южно-Сахалинск, ул. Комсомольская, д. 215</t>
  </si>
  <si>
    <t>г. Южно-Сахалинск, ул. Комсомольская, д. 225</t>
  </si>
  <si>
    <t>г. Южно-Сахалинск, ул. Комсомольская, д. 235</t>
  </si>
  <si>
    <t>г. Южно-Сахалинск, ул. Комсомольская, д. 239</t>
  </si>
  <si>
    <t>г. Южно-Сахалинск, ул. Крюкова Д.Н., д. 35</t>
  </si>
  <si>
    <t>г. Южно-Сахалинск, ул. Курильская, д. 14</t>
  </si>
  <si>
    <t>г. Южно-Сахалинск, ул. Курильская, д. 6</t>
  </si>
  <si>
    <t>г. Южно-Сахалинск, ул. Курильская, д. 7</t>
  </si>
  <si>
    <t>г. Южно-Сахалинск, ул. Ленина, д. 166</t>
  </si>
  <si>
    <t>г. Южно-Сахалинск, ул. Ленина, д. 198</t>
  </si>
  <si>
    <t>г. Южно-Сахалинск, ул. Ленина, д. 283</t>
  </si>
  <si>
    <t>г. Южно-Сахалинск, ул. Ленина, д. 287</t>
  </si>
  <si>
    <t>г. Южно-Сахалинск, ул. Ленина, д. 306</t>
  </si>
  <si>
    <t>г. Южно-Сахалинск, ул. Ленина, д. 489, лит. А</t>
  </si>
  <si>
    <t>г. Южно-Сахалинск, ул. Ленина, д. 493</t>
  </si>
  <si>
    <t>г. Южно-Сахалинск, ул. Милицейская, д. 11</t>
  </si>
  <si>
    <t>г. Южно-Сахалинск, ул. Милицейская, д. 13, лит. А</t>
  </si>
  <si>
    <t>г. Южно-Сахалинск, ул. Невельская, д. 13</t>
  </si>
  <si>
    <t>г. Южно-Сахалинск, ул. Невельская, д. 46</t>
  </si>
  <si>
    <t>г. Южно-Сахалинск, ул. Пограничная, д. 20</t>
  </si>
  <si>
    <t>г. Южно-Сахалинск, ул. Пограничная, д. 22</t>
  </si>
  <si>
    <t>г. Южно-Сахалинск, ул. Пограничная, д. 63</t>
  </si>
  <si>
    <t>г. Южно-Сахалинск, ул. Пуркаева М.А., д. 80</t>
  </si>
  <si>
    <t>г. Южно-Сахалинск, ул. Пуркаева М.А., д. 82</t>
  </si>
  <si>
    <t>г. Южно-Сахалинск, ул. Пушкина, д. 131</t>
  </si>
  <si>
    <t>г. Южно-Сахалинск, ул. Пушкина, д. 133</t>
  </si>
  <si>
    <t>г. Южно-Сахалинск, ул. Сахалинская, д. 1</t>
  </si>
  <si>
    <t>г. Южно-Сахалинск, ул. Сахалинская, д. 106</t>
  </si>
  <si>
    <t>г. Южно-Сахалинск, ул. Сахалинская, д. 15</t>
  </si>
  <si>
    <t>г. Южно-Сахалинск, ул. Сахалинская, д. 36</t>
  </si>
  <si>
    <t>г. Южно-Сахалинск, ул. Сахалинская, д. 37</t>
  </si>
  <si>
    <t>г. Южно-Сахалинск, ул. Сахалинская, д. 49</t>
  </si>
  <si>
    <t>г. Южно-Сахалинск, ул. Сахалинская, д. 51</t>
  </si>
  <si>
    <t>г. Южно-Сахалинск, ул. Сахалинская, д. 8</t>
  </si>
  <si>
    <t>г. Южно-Сахалинск, ул. Тихоокеанская, д. 27</t>
  </si>
  <si>
    <t>г. Южно-Сахалинск, ул. Тихоокеанская, д. 34</t>
  </si>
  <si>
    <t>г. Южно-Сахалинск, ул. Тихоокеанская, д. 36</t>
  </si>
  <si>
    <t>г. Южно-Сахалинск, ул. Украинская, д. 11</t>
  </si>
  <si>
    <t>г. Южно-Сахалинск, ул. Украинская, д. 22, лит. А</t>
  </si>
  <si>
    <t>г. Южно-Сахалинск, ул. Украинская, д. 3</t>
  </si>
  <si>
    <t>г. Южно-Сахалинск, ул. Украинская, д. 9</t>
  </si>
  <si>
    <t>г. Южно-Сахалинск, ул. Фабричная, д. 11</t>
  </si>
  <si>
    <t>г. Южно-Сахалинск, ул. Фабричная, д. 20</t>
  </si>
  <si>
    <t>г. Южно-Сахалинск, ул. Физкультурная, д. 115</t>
  </si>
  <si>
    <t>г. Южно-Сахалинск, ул. Физкультурная, д. 120</t>
  </si>
  <si>
    <t>г. Южно-Сахалинск, ул. Физкультурная, д. 38</t>
  </si>
  <si>
    <t>г. Южно-Сахалинск, ул. Физкультурная, д. 66</t>
  </si>
  <si>
    <t>г. Южно-Сахалинск, ул. Физкульурная, д. 124, лит. Б</t>
  </si>
  <si>
    <t>г. Южно-Сахалинск, ул. Чехова, д. 2, лит. А</t>
  </si>
  <si>
    <t>г. Южно-Сахалинск, ул. Чехова, д. 29</t>
  </si>
  <si>
    <t>с. Березняки, ул. Зеленая, д. 26, лит. А</t>
  </si>
  <si>
    <t>с. Березняки, ул. Крайняя, д. 4</t>
  </si>
  <si>
    <t>с. Дальнее, ул. Студенческая, д. 11</t>
  </si>
  <si>
    <t>с. Дальнее, ул. Студенческая, д. 9</t>
  </si>
  <si>
    <t>с. Елочки, ул. Центральная, д. 1</t>
  </si>
  <si>
    <t>г. Александровск-Сахалинский, ул. Красноармейская, д. 34</t>
  </si>
  <si>
    <t>г. Александровск-Сахалинский, ул. Ленина, д. 13</t>
  </si>
  <si>
    <t>г. Александровск-Сахалинский, ул. Советская, д. 32</t>
  </si>
  <si>
    <t>с. Троицкое, ул. Центральная, д. 40</t>
  </si>
  <si>
    <t>Крыша</t>
  </si>
  <si>
    <t>Фасад</t>
  </si>
  <si>
    <t>г. Долинск, ул. Комсомольская, д. 40, лит. А</t>
  </si>
  <si>
    <t>г. Долинск, ул. Октябрьская, д. 9</t>
  </si>
  <si>
    <t>с. Сокол, ул. Совхозная, д. 1</t>
  </si>
  <si>
    <t>Подвал</t>
  </si>
  <si>
    <t>г. Корсаков, ул. 2-й микрорайон, д. 1</t>
  </si>
  <si>
    <t>с. Чапаево, ул. Центральная, д. 1</t>
  </si>
  <si>
    <t>Фундамент</t>
  </si>
  <si>
    <t>с. Рейдово, ул. Зеленая, д. 6</t>
  </si>
  <si>
    <t>с. Китовое, ул. Молодежная, д. 3</t>
  </si>
  <si>
    <t>с. Китовое, ул. Молодежная, д. 4</t>
  </si>
  <si>
    <t>г. Макаров, ул. Хабаровская, д. 25</t>
  </si>
  <si>
    <t>г. Оха, ул. 60 лет СССР, д. 34</t>
  </si>
  <si>
    <t>с. Москальво, ул. Советская, д. 12</t>
  </si>
  <si>
    <t>Газоснабжение</t>
  </si>
  <si>
    <t>г. Северо-Курильск, ул. Шутова,  д. 14, лит. А</t>
  </si>
  <si>
    <t>пгт. Смирных, ул. 60 лет СССР, д. 20</t>
  </si>
  <si>
    <t>пгт. Смирных, ул. 60 лет СССР, д. 8</t>
  </si>
  <si>
    <t>пгт. Смирных, ул. 8 Марта, д. 37, лит. А</t>
  </si>
  <si>
    <t>пгт. Смирных, ул. Горького, д. 14</t>
  </si>
  <si>
    <t>пгт. Смирных, ул. Горького, д. 16</t>
  </si>
  <si>
    <t>пгт. Смирных, ул. Полевая, д. 1, лит. А</t>
  </si>
  <si>
    <t>пгт. Смирных, ул. Центральная, д. 31</t>
  </si>
  <si>
    <t>пгт. Смирных, ул. Чехова, д. 21</t>
  </si>
  <si>
    <t>пгт. Смирных, ул. Чехова, д. 31</t>
  </si>
  <si>
    <t>г. Томари, ул. Юбилейная, д. 19</t>
  </si>
  <si>
    <t>с. Ильинское, ул. Лесная, д. 2</t>
  </si>
  <si>
    <t>с. Ильинское, ул. Советская, д. 85</t>
  </si>
  <si>
    <t>с. Ильинское, ул. Советская, д. 87</t>
  </si>
  <si>
    <t>с. Красногорск, ул. Ушакова, д. 18</t>
  </si>
  <si>
    <t>с. Красногорск, ул. Ушакова, д. 20</t>
  </si>
  <si>
    <t>с. Черемшанка, ул. Гагарина, д. 12</t>
  </si>
  <si>
    <t>с. Черемшанка, ул. Ленина, д. 2</t>
  </si>
  <si>
    <t>ООО "Стройгазпроект" Муртазалиев Р.А. 8-924-283-06-63</t>
  </si>
  <si>
    <t>ООО "Стройгазпроект" Муртазалиев Р.А. 8-924-283-06-72</t>
  </si>
  <si>
    <t>ООО "Стройгазпроект" Муртазалиев Р.А. 8-924-283-06-102</t>
  </si>
  <si>
    <t>ООО "Магистраль" Ген.дир. Киселев С.В.тел. 8914-0840801</t>
  </si>
  <si>
    <t>№25-ПД/2015 от 21.09.2015г.</t>
  </si>
  <si>
    <t>ООО "СК Техно-Строй"ген.дир. Павлов А.О.тел. 300-950</t>
  </si>
  <si>
    <t>№26-ПД/2015 от 21.09.2015г.</t>
  </si>
  <si>
    <t>ООО "СК Техно-Строй"ген.дир. Павлов А.О.тел. 300-951</t>
  </si>
  <si>
    <t>ООО "СК Техно-Строй"ген.дир. Павлов А.О.тел. 300-953</t>
  </si>
  <si>
    <t>ООО "СК Техно-Строй"ген.дир. Павлов А.О.тел. 300-954</t>
  </si>
  <si>
    <t>№28-ПД/2015 от 28.09.2015г.</t>
  </si>
  <si>
    <t>№29-ПД/2015 от 24.09.2015г.</t>
  </si>
  <si>
    <t>№32-ПД/2015 от 29.09.2015г.</t>
  </si>
  <si>
    <t>№33-ПД/2015 от 25.09.2015.</t>
  </si>
  <si>
    <t>ООО "Дельта" Дир. Пятилетов А.А.тел. 8962-1195653</t>
  </si>
  <si>
    <t>№34-ПД/2015 от 01.10.2015</t>
  </si>
  <si>
    <t>№62-ПД/2015 от 13.01.2016</t>
  </si>
  <si>
    <t>№42-ПД/2015 от 24.11.2015</t>
  </si>
  <si>
    <t>ООО "Дельта" Дир. Пятилетов А .А.тел. 8962-119-56-53</t>
  </si>
  <si>
    <t>№43-ПД/2015 от 18.12.2015</t>
  </si>
  <si>
    <t>ООО "Ротари-2000" Директор Кашенцев , 312-312</t>
  </si>
  <si>
    <t>№46-ПД/2015 от 21.12.2015</t>
  </si>
  <si>
    <t>№44-ПД/2015 от 17.12.2015</t>
  </si>
  <si>
    <t>№47-ПД/2015 от 18.12.2015.</t>
  </si>
  <si>
    <t>№48-ПД/2015 от 18.12.2015.</t>
  </si>
  <si>
    <t>№50-ПД/2015 от 18.12.2015</t>
  </si>
  <si>
    <t>№51-ПД/2015 от 23.12.2015г.</t>
  </si>
  <si>
    <t>№53-ПД/2016 от 28.12.2015</t>
  </si>
  <si>
    <t>№39-ПД/2016 от 12.10.2015</t>
  </si>
  <si>
    <t>№57-ПД/2015 от 28.12.2015г.</t>
  </si>
  <si>
    <t>ООО "Стройстандарт" Ген Дир - Камелин Максим Сергеевич 29-57-54</t>
  </si>
  <si>
    <t>№49-ПД/2015 от 18.12.2015</t>
  </si>
  <si>
    <t>пгт. Тымовское, ул. Кировская, д. 85, лит. А</t>
  </si>
  <si>
    <t>с. Кировское, ул. Речная, д. 3</t>
  </si>
  <si>
    <t>с. Красная Тымь, пер. Школьный, д. 2</t>
  </si>
  <si>
    <t>№45-ПД/2015 от 17.12.2015</t>
  </si>
  <si>
    <t>№24-ПД/2015 от 18.09.2015</t>
  </si>
  <si>
    <t>г. Углегорск, ул. Портовая, д. 12</t>
  </si>
  <si>
    <t>№31-ПД/2015 от 05.10.2015</t>
  </si>
  <si>
    <t>г. Холмск, ул. Первомайская, д. 11</t>
  </si>
  <si>
    <t>г. Холмск, ул. Первомайская, д. 5</t>
  </si>
  <si>
    <t>№52-ПД/2015 от 23.12.2015</t>
  </si>
  <si>
    <t>№55-ПД/2015 от 28.12.2015</t>
  </si>
  <si>
    <t>№38-ПД/2016 от 15.10.2015г.</t>
  </si>
  <si>
    <t>г. Шахтерск, ул. Интернациональная, д. 9</t>
  </si>
  <si>
    <t>г. Шахтерск, ул. Коммунистическая, д. 9</t>
  </si>
  <si>
    <t>г. Шахтерск, ул. Кузьменко, д. 1</t>
  </si>
  <si>
    <t>г. Шахтерск, ул. Мира, д. 11</t>
  </si>
  <si>
    <t>г. Шахтерск, ул. Мира, д. 12</t>
  </si>
  <si>
    <t>г. Шахтерск, ул. Мира, д. 18</t>
  </si>
  <si>
    <t>г. Шахтерск, ул. Мира, д. 5</t>
  </si>
  <si>
    <t>г. Шахтерск, ул. Мира, д. 6</t>
  </si>
  <si>
    <t>ООО "СК Техно-Строй" ген.дир. Павлов А.О.тел. 300-951</t>
  </si>
  <si>
    <t xml:space="preserve">№2-СМР/2016 от </t>
  </si>
  <si>
    <t>ООО "Регион"Веретешкин О.Н.</t>
  </si>
  <si>
    <t>ООО "Регион" директор Веретешкин О.Н.</t>
  </si>
  <si>
    <t>№2-СМР/2016 от 13.01.2016</t>
  </si>
  <si>
    <t>ИП Торгонин В.Н.</t>
  </si>
  <si>
    <t>ООО "СМК Сахалин"</t>
  </si>
  <si>
    <t>ООО "Компания Стройсервис"</t>
  </si>
  <si>
    <t>№9-СМР/2016 от 13.01.2016</t>
  </si>
  <si>
    <t>№111-СМР/2015 от 25.11.2015</t>
  </si>
  <si>
    <t>ООО "Стройград-1", Ген дир Пак Чан Сен, Тел./факс 8 (4242) 72-26-30, 50-00-37</t>
  </si>
  <si>
    <t>№113-СМР/2015 от 07.12.2015</t>
  </si>
  <si>
    <t>№112-СМР/2016 от 11.12.2016</t>
  </si>
  <si>
    <t>№114-СМР/2015г.
от 08.12.2015г.</t>
  </si>
  <si>
    <t>ООО "Бернизет" Г. дир. - Филипьев Андрей Ильич 286-27-52,  8-962-124-00-82</t>
  </si>
  <si>
    <t>№116-СМР/2015г.
от 07.12.2015г.</t>
  </si>
  <si>
    <t>ООО "Гарант", Ген. Директр - Сё Д.М., Дир. по стр-ву  - Бетнев Евгений Борисович - 
27-99-98</t>
  </si>
  <si>
    <t>ООО "Компания Строй модуль"Директор - Че Хук Ер (Дмитрий Яковлевич) - 26-16-11</t>
  </si>
  <si>
    <t>№123/1-СМР/2015</t>
  </si>
  <si>
    <t>№123/2-СМР/2015</t>
  </si>
  <si>
    <t>№123/3-СМР/2015</t>
  </si>
  <si>
    <t>г. Южно-Сахалинск, п/р. Ново-Александровск, пер. Железнодорожный, д. 4, лит. А</t>
  </si>
  <si>
    <t>г. Южно-Сахалинск, п/р. Ново-Александровск, ул. 30 лет Победы, д. 7, лит. А</t>
  </si>
  <si>
    <t>г. Южно-Сахалинск, ул. Бумажная, д. 22, лит. Б</t>
  </si>
  <si>
    <t>г. Южно-Сахалинск, ул. Имени Антона Буюклы, д. 85</t>
  </si>
  <si>
    <t>г. Южно-Сахалинск, ул. Курильская, д. 55</t>
  </si>
  <si>
    <t>г. Южно-Сахалинск, ул. Сахалинская, д. 5</t>
  </si>
  <si>
    <t>с. Березняки, ул. Зеленая, д. 4</t>
  </si>
  <si>
    <t>ООО "Ротари-2000" Директор - Кашенцев Д., 312-312</t>
  </si>
  <si>
    <t>№61-ПД/2015 от 28.12.2015</t>
  </si>
  <si>
    <t>№60-ПД/2015 от 28.12.2015</t>
  </si>
  <si>
    <t>№59-ПД/2015 от 28.12.2015</t>
  </si>
  <si>
    <t>№58-ПД/2015 от 28.12.2015</t>
  </si>
  <si>
    <t>№56-ПД/2015 от 28.12.2015</t>
  </si>
  <si>
    <t>№54-ПД/2015 от 28.12.2015</t>
  </si>
  <si>
    <t>№36-ПД/2015 от 29.09.2015</t>
  </si>
  <si>
    <t>№35-ПД/2015 от 29.09.2015</t>
  </si>
  <si>
    <t>№1-СМР/2016 от 11.01.2016</t>
  </si>
  <si>
    <t>ООО "Шадан" директор - Тишков В.В. 424329</t>
  </si>
  <si>
    <t>№10-СМР/2016 от 11.01.2016</t>
  </si>
  <si>
    <t>№6-СМР/2016 от 14.01.2016</t>
  </si>
  <si>
    <t>№8-СМР/2016 от 14.01.2016</t>
  </si>
  <si>
    <t>МКД всего:</t>
  </si>
  <si>
    <t>Муниципальное образование всего:</t>
  </si>
  <si>
    <t>Муниципальное образование "Анивский городской округ"</t>
  </si>
  <si>
    <t>Муниципальное образование  городской округ "Александровск-Сахалинский район"</t>
  </si>
  <si>
    <t>Муниципальное образование "Бошняковское сельское поселение"</t>
  </si>
  <si>
    <t>Муниципальное образование "Долинский городской округ"</t>
  </si>
  <si>
    <t>Муниципальное образование "Корсаковский городской округ"</t>
  </si>
  <si>
    <t>Муниципальное образование "Курильский городской округ"</t>
  </si>
  <si>
    <t>Муниципальное образование "Макаровский городской округ"</t>
  </si>
  <si>
    <t>Муниципальное образование "Невельский городской округ"</t>
  </si>
  <si>
    <t>Муниципальное образование "Городской округ Ногликский"</t>
  </si>
  <si>
    <t>Муниципальное образование городской округ "Охинский"</t>
  </si>
  <si>
    <t>Муниципальное образование "Поронайский городской округ"</t>
  </si>
  <si>
    <t>Муниципальное образование Северо-Курильский городской округ</t>
  </si>
  <si>
    <t>Муниципальное образование городской округ "Смирныховский"</t>
  </si>
  <si>
    <t>Муниципальное образование "Томаринский городской округ"</t>
  </si>
  <si>
    <t>Муниципальное образование "Тымовский городской округ"</t>
  </si>
  <si>
    <t>с. Кировское, ул. Центральная, д. 65</t>
  </si>
  <si>
    <t>Муниципальное образование "Углегорское городское поселение"</t>
  </si>
  <si>
    <t>Муниципальное образование "Холмский городской округ"</t>
  </si>
  <si>
    <t>Муниципальное образование Шахтерское городское поселение</t>
  </si>
  <si>
    <t>Муниципальное образование "Южно-Курильский городской округ"</t>
  </si>
  <si>
    <t>Вид работы (услуги) по капитальному ремонту</t>
  </si>
  <si>
    <t>Дата принятия решения собственниками или ОМС о проведении капитального ремонта</t>
  </si>
  <si>
    <t>№ и дата заключения договора подряда на капитальный ремонт</t>
  </si>
  <si>
    <t>Плановая дата завершения работ (услуг) в соответствии с заключенным договором подряда</t>
  </si>
  <si>
    <t>Дата фактического завершения работ (услуг)  в соответствии с актами о приемке</t>
  </si>
  <si>
    <t>Сахалинская область всего</t>
  </si>
  <si>
    <t>ООО "Авантажстрой" , ген. Директр Караваев Д.Н. 
Тел./факс 8 (4212) 738312, 89142001043</t>
  </si>
  <si>
    <t>№5-СМР/2016 от 15.01.2016</t>
  </si>
  <si>
    <t>№3-СМР/2016 от 15.01.2016</t>
  </si>
  <si>
    <t>№4-СМР/2016 от 15.01.2016</t>
  </si>
  <si>
    <t>№7-СМР/2016 от 15.01.2016</t>
  </si>
  <si>
    <t>ООО "Гарант"</t>
  </si>
  <si>
    <t>Муниципальное образование городской округ "город Южно-Сахалинск"</t>
  </si>
  <si>
    <t>ООО "Домострой"</t>
  </si>
  <si>
    <t>№15-СМР/2016 от 29.01.2016</t>
  </si>
  <si>
    <t>№16-СМР/2016 от 29.01.2016</t>
  </si>
  <si>
    <t>ООО "Стройград - 1"</t>
  </si>
  <si>
    <t>№14/1-СМР/2015 от 01.02.2016</t>
  </si>
  <si>
    <t>№13/3-СМР/2016 от 01.02.2016</t>
  </si>
  <si>
    <t>№14/2-СМР/2015 от 09.02.2016</t>
  </si>
  <si>
    <t>ООО СК "ЭНКИ"</t>
  </si>
  <si>
    <t>№13/2-СМР/2016 от 09.02.2016</t>
  </si>
  <si>
    <t>№13/1-СМР/2016 от 09.02.2016</t>
  </si>
  <si>
    <t>протокол №1 от 30.11.2015</t>
  </si>
  <si>
    <t>постановление №80 от 04.02.2016</t>
  </si>
  <si>
    <t>постановление №1-па от 11.01.2016</t>
  </si>
  <si>
    <t>постановление №91/1 от 10.12.2015</t>
  </si>
  <si>
    <t>протокол  от 16.11.2015</t>
  </si>
  <si>
    <t>протокол  от 30.11.2015</t>
  </si>
  <si>
    <t>протокол от 17.11.2015</t>
  </si>
  <si>
    <t>протокол от 20.10.2015</t>
  </si>
  <si>
    <t>протокол от 21.09.2015</t>
  </si>
  <si>
    <t>протокол от 05.10.2015</t>
  </si>
  <si>
    <t>протокол от 25.09.2015</t>
  </si>
  <si>
    <t>протокол от 28.09.2015</t>
  </si>
  <si>
    <t>протокол от 27.09.2015</t>
  </si>
  <si>
    <t>протокол от 18.09.2015</t>
  </si>
  <si>
    <t>протокол от 29.09.2015</t>
  </si>
  <si>
    <t>протокол от 20.11.2015</t>
  </si>
  <si>
    <t>протокол от 30.09.2015</t>
  </si>
  <si>
    <t>протокол от 08.10.2015</t>
  </si>
  <si>
    <t>протокол от 02.10.2015</t>
  </si>
  <si>
    <t>протокол от 27.11.2015</t>
  </si>
  <si>
    <t>протокол от 26.10.2015</t>
  </si>
  <si>
    <t>протокол от 09.10.2015</t>
  </si>
  <si>
    <t>протокол от 22.09.2015</t>
  </si>
  <si>
    <t>протокол от 23.10.2015</t>
  </si>
  <si>
    <t>протокол от 14.11.2015</t>
  </si>
  <si>
    <t>протокол от 24.09.2015</t>
  </si>
  <si>
    <t>протокол от 10.10.2015</t>
  </si>
  <si>
    <t>протокол от 30.10.2015</t>
  </si>
  <si>
    <t>протокол от 12.09.2015</t>
  </si>
  <si>
    <t>постановление №125 от 04.02.2016</t>
  </si>
  <si>
    <t>протокол от 25.01.2016</t>
  </si>
  <si>
    <t>протоколы от 25.01.2016</t>
  </si>
  <si>
    <t>постановление №1678 от 25.12.2015</t>
  </si>
  <si>
    <t>постановление №930 от 31.12.2015</t>
  </si>
  <si>
    <t>протокол от 30.11.2015</t>
  </si>
  <si>
    <t>протокол от 06.11.2015</t>
  </si>
  <si>
    <t>постановление №836 от 24.12.2015</t>
  </si>
  <si>
    <t>протокол от 25.11.2015</t>
  </si>
  <si>
    <t>протокол от 07.11.2015</t>
  </si>
  <si>
    <t>протокол от 10.11.2015</t>
  </si>
  <si>
    <t>протокол от 24.11.2015</t>
  </si>
  <si>
    <t>протокол от 05.11.2015</t>
  </si>
  <si>
    <t>протокол от 13.11.2015</t>
  </si>
  <si>
    <t>постановление №1258 от 10.12.2015</t>
  </si>
  <si>
    <t>протокол от 16.11.2015</t>
  </si>
  <si>
    <t>постановление №389 от 10.12.2015</t>
  </si>
  <si>
    <t>протокол от 29.11.2015</t>
  </si>
  <si>
    <t>протокол от 23.11.2015</t>
  </si>
  <si>
    <t>постановление №1675 от 18.12.2015</t>
  </si>
  <si>
    <t>протокол от 28.11.2015</t>
  </si>
  <si>
    <t>протокол от 26.11.2015</t>
  </si>
  <si>
    <t>постановление №20 от 05.02.2016</t>
  </si>
  <si>
    <t>протокол от 01.12.2015</t>
  </si>
  <si>
    <t>протокол от 02.12.2015</t>
  </si>
  <si>
    <t>постановление №163 от 24.12.2015</t>
  </si>
  <si>
    <t>постановление №560 от 31.12.2015</t>
  </si>
  <si>
    <t>протокол от 15.11.2015</t>
  </si>
  <si>
    <t>постановление №148 от 10.02.2016</t>
  </si>
  <si>
    <t>протокол от 24.10.2015</t>
  </si>
  <si>
    <t>постановление №46 от 18.01.2016</t>
  </si>
  <si>
    <t>постановление №13 от 27.01.2016</t>
  </si>
  <si>
    <t>постановление №125-па от 22.01.2016</t>
  </si>
  <si>
    <t>протоколы от 12.10.2015, 27.11.2015</t>
  </si>
  <si>
    <t>протокол от 13.07.2015</t>
  </si>
  <si>
    <t>протокол от 31.10.2015</t>
  </si>
  <si>
    <t>№112-СМР/2015 от 11.12.2015</t>
  </si>
  <si>
    <t>№17-СМР/2016 от 25.02.2016</t>
  </si>
  <si>
    <t>№18-СМР/2016 от 20.02.2016</t>
  </si>
  <si>
    <t>ООО "Энки"</t>
  </si>
  <si>
    <t>№19/1-СМР/2016 от 24.02.2016</t>
  </si>
  <si>
    <t>№19/2-СМР/2016 от 26.02.2016</t>
  </si>
  <si>
    <t>№19/3-СМР/2016 от 17.02.2016</t>
  </si>
  <si>
    <t>№19/4-СМР/2016 от 25.02.2016</t>
  </si>
  <si>
    <t>ООО "ТехноСтройКомплекс"</t>
  </si>
  <si>
    <t>№20-СМР/2016 от 24.02.2016</t>
  </si>
  <si>
    <t>№21-СМР/2016 от 24.02.2016</t>
  </si>
  <si>
    <t>№25-СМР/2016 от 09.03.2016</t>
  </si>
  <si>
    <t>ООО "Стройград-1"</t>
  </si>
  <si>
    <t>№19/1-СМР/2016г. от 24.02.2016г.</t>
  </si>
  <si>
    <t>ООО "Сириус"</t>
  </si>
  <si>
    <t xml:space="preserve">протокол от 20.11.2015   </t>
  </si>
  <si>
    <t>постановление №425 от 21.03.2016</t>
  </si>
  <si>
    <t>постановление №117 от 25.03.2016</t>
  </si>
  <si>
    <t>г. Холмск, ул. Советская, д. 132</t>
  </si>
  <si>
    <t>г. Шахтерск, Мира, д. 43</t>
  </si>
  <si>
    <t>постановление №246 от 28.03.2016</t>
  </si>
  <si>
    <t>постановление №619-па от 18.03.2016</t>
  </si>
  <si>
    <t>№39-СМР/2016 от 04.04.2016</t>
  </si>
  <si>
    <t>ОАО "Сахалиноблгаз"</t>
  </si>
  <si>
    <t>№28/1-СМР/2016 от 28.03.2016</t>
  </si>
  <si>
    <t>ООО "РеМейк"</t>
  </si>
  <si>
    <t>№30/3-СМР/2016 от 28.03.2016</t>
  </si>
  <si>
    <t>протокол №77 от 01.04.2016</t>
  </si>
  <si>
    <t>протокол от 29.03.2016</t>
  </si>
  <si>
    <t>№27/1-СМР/2016 от 14.03.2016</t>
  </si>
  <si>
    <t>ООО "Рабочий-1"</t>
  </si>
  <si>
    <t>№27/2-СМР/2016 от 10.03.2016</t>
  </si>
  <si>
    <t>ООО "Контроль-ДВ"</t>
  </si>
  <si>
    <t>№27/3-СМР/2016 от 10.03.2016</t>
  </si>
  <si>
    <t>№27/4-СМР/2016 от 14.03.2016</t>
  </si>
  <si>
    <t>№28/2-СМР/2016 от 28.03.2016</t>
  </si>
  <si>
    <t>№30/1-СМР/2016 от 21.03.2016</t>
  </si>
  <si>
    <t>ООО "СК Императив"</t>
  </si>
  <si>
    <t>№30/2-СМР/2016 от 21.03.2016</t>
  </si>
  <si>
    <t>№32-СМР/2016 от 04.04.2016</t>
  </si>
  <si>
    <t>№33-СМР/2016 от 04.04.2016</t>
  </si>
  <si>
    <t>№34-СМР/2016 от 29.03.2016</t>
  </si>
  <si>
    <t>ООО "СК Энки"</t>
  </si>
  <si>
    <t>№35-СМР/2016 от 05.04.2016</t>
  </si>
  <si>
    <t>ООО "Северспецстрой"</t>
  </si>
  <si>
    <t>№36-СМР/2016 от 29.03.2016</t>
  </si>
  <si>
    <t>№37/1-СМР/2016 от 08.04.2016</t>
  </si>
  <si>
    <t>ООО "Паладэз"</t>
  </si>
  <si>
    <t>№38/1-СМР/2016 от 06.04.2016</t>
  </si>
  <si>
    <t>ООО "Строитель"</t>
  </si>
  <si>
    <t>№38/2-СМР/2016 от 06.04.2016</t>
  </si>
  <si>
    <t>ООО "Сахалинская промышленная компания"</t>
  </si>
  <si>
    <t>№40-СМР/2016 от 05.04.2016</t>
  </si>
  <si>
    <t>05.06.2016</t>
  </si>
  <si>
    <t>ООО "Аско-88"</t>
  </si>
  <si>
    <t>№41-СМР/2016 от 07.04.2016</t>
  </si>
  <si>
    <t>ООО "Техно-Строй ДВ"</t>
  </si>
  <si>
    <t>№51-СМР/2016 от 06.04.2016</t>
  </si>
  <si>
    <t>ИП Хачатурян А.А.</t>
  </si>
  <si>
    <t>№45-СМР/2016 от 20.04.2016</t>
  </si>
  <si>
    <t>№47-СМР/2016 от 14.04.2016</t>
  </si>
  <si>
    <t>ООО "Компания Строймодуль"</t>
  </si>
  <si>
    <t>№50-СМР/2016 от 18.04.2016</t>
  </si>
  <si>
    <t>№54-СМР/2016 от 17.04.2016</t>
  </si>
  <si>
    <t>ООО "Строительно-монтажная компания Юнона"</t>
  </si>
  <si>
    <t>№56-СМР/2016 от 13.04.2016</t>
  </si>
  <si>
    <t>ООО "Сахалинская кровля"</t>
  </si>
  <si>
    <t>№57-СМР/2016 от 14.04.2016</t>
  </si>
  <si>
    <t>ООО "Шадан"</t>
  </si>
  <si>
    <t>№58-СМР/2016 от 14.04.2016</t>
  </si>
  <si>
    <t>№44/2-СМР/2016 от 18.04.2016</t>
  </si>
  <si>
    <t>ООО "Гранд"</t>
  </si>
  <si>
    <t>№52-СМР/2016 от 20.04.2016</t>
  </si>
  <si>
    <t>№26-СМР/2016 от 21.03.2016</t>
  </si>
  <si>
    <t>№53-СМР/2016 от 20.04.2016</t>
  </si>
  <si>
    <t>№37/2-СМР/2016 от 01.04.2016</t>
  </si>
  <si>
    <t>ООО "Южная строительно-торговая компания"</t>
  </si>
  <si>
    <t>№42/1-СМР/2016 от 15.04.2016</t>
  </si>
  <si>
    <t>ООО СК "Энки"</t>
  </si>
  <si>
    <t>№42/2-СМР/2016 от 15.04.2016</t>
  </si>
  <si>
    <t>№44/1-СМР/2016 от 13.04.2016</t>
  </si>
  <si>
    <t>ООО "Евроокна"</t>
  </si>
  <si>
    <t>№48-СМР/2016 от 18.04.2016</t>
  </si>
  <si>
    <t>№49-СМР/2016 от 18.04.2016</t>
  </si>
  <si>
    <t>№55-СМР/2016 от 29.04.2016</t>
  </si>
  <si>
    <t>№46-СМР/2016 от 19.04.2016</t>
  </si>
  <si>
    <t xml:space="preserve">ООО "Авантажстрой" </t>
  </si>
  <si>
    <t>№59-СМР/2016 от 19.04.2016</t>
  </si>
  <si>
    <t>№61-СМР/2016 от 28.04.2016</t>
  </si>
  <si>
    <t>№62-СМР/2016 от 27.04.2016</t>
  </si>
  <si>
    <t>ООО "Альпстрой-ДВ"</t>
  </si>
  <si>
    <t>№50/1-СМР/2015 от 16.07.2015</t>
  </si>
  <si>
    <t>ООО "Фобос-Строй"</t>
  </si>
  <si>
    <t>Перечислено по контракту, в т.ч. аванс, руб.</t>
  </si>
  <si>
    <t>с. Троицкое, ул. Гвардейская, д. 10</t>
  </si>
  <si>
    <t>с. Троицкое, ул. Гвардейская, д. 8</t>
  </si>
  <si>
    <t>Объем фактически исполненых работ, руб.</t>
  </si>
  <si>
    <t>№ 64/4-СМР/2015                от 20.07.2015</t>
  </si>
  <si>
    <t>№73-СМР/2016 от 29.04.2016</t>
  </si>
  <si>
    <t>ООО "СахалинРемонт"</t>
  </si>
  <si>
    <t>№60-СМР/2016 от 28.04.2016</t>
  </si>
  <si>
    <t>№64/2-СМР/2016 от 05.05.2016</t>
  </si>
  <si>
    <t>ООО "Строймаркет"</t>
  </si>
  <si>
    <t>№64/1-СМР/2016 от 05.05.2016</t>
  </si>
  <si>
    <t>№66-СМР/2016 от 12.05.2016</t>
  </si>
  <si>
    <t>№63-СМР/2016 от 05.05.2016</t>
  </si>
  <si>
    <t>№65-СМР/2016 от 19.05.2016</t>
  </si>
  <si>
    <t>№67-СМР/2016 от 12.05.2016</t>
  </si>
  <si>
    <t>№69/1-СМР/2016 от 10.05.2016</t>
  </si>
  <si>
    <t>ООО "Логос"</t>
  </si>
  <si>
    <t>№69/2-СМР/2016 от 10.05.2016</t>
  </si>
  <si>
    <t>№70/1-СМР/2016 от 16.05.2016</t>
  </si>
  <si>
    <t>ООО "Альянс"</t>
  </si>
  <si>
    <t>№70/2-СМР/2016 от 16.05.2016</t>
  </si>
  <si>
    <t>№74/1-СМР/2016 от 17.05.2016</t>
  </si>
  <si>
    <t>ООО "Гарантия"</t>
  </si>
  <si>
    <t>№74/2-СМР/2016 от 17.05.2016</t>
  </si>
  <si>
    <t>№75/1-СМР/2016 от 16.05.2016</t>
  </si>
  <si>
    <t>постановление №309 от 20.05.2016</t>
  </si>
  <si>
    <t>№31/1-СМР/2016 от 31.03.2016</t>
  </si>
  <si>
    <t>ООО "Северосахалинское транспортное агентство"</t>
  </si>
  <si>
    <t>№31/2-СМР/2016 от 31.03.2016</t>
  </si>
  <si>
    <t>№68-СМР/2016 от 17.05.2016</t>
  </si>
  <si>
    <t>№70/3-СМР/2016 от 16.05.2016</t>
  </si>
  <si>
    <t>ООО "Стройстандарт"</t>
  </si>
  <si>
    <t>№72/1-СМР/2016 от 19.05.2016</t>
  </si>
  <si>
    <t>№72/2-СМР/2016 от 19.05.2016</t>
  </si>
  <si>
    <t>№74/3-СМР/2016 от 17.05.2016</t>
  </si>
  <si>
    <t>ООО "Строительно-промышленная корпорация"</t>
  </si>
  <si>
    <t>№75/2-СМР/2016 от 18.05.2016</t>
  </si>
  <si>
    <t>№84-СМР/2016 от 19.05.2016</t>
  </si>
  <si>
    <t>ООО "Андаин"</t>
  </si>
  <si>
    <t>№86-СМР/2016 от 24.05.2016</t>
  </si>
  <si>
    <t>постановление №464-па от 27.05.2016</t>
  </si>
  <si>
    <t>№98-СМР/2016 от 06.06.2016</t>
  </si>
  <si>
    <t>ООО "Мегастрой"</t>
  </si>
  <si>
    <t>№78-СМР/2016 от 30.05.2016</t>
  </si>
  <si>
    <t>№71-СМР/2016 от 19.05.2016</t>
  </si>
  <si>
    <t>ООО СКФ "Рубин"</t>
  </si>
  <si>
    <t>постановление №1525-па от 25.05.2016</t>
  </si>
  <si>
    <t>постановление №125-па от 22.01.2016 постановление №1525-па от 25.05.2016</t>
  </si>
  <si>
    <t xml:space="preserve">г. Южно-Сахалинск, п/р. Ново-Александровск, пер. Мичурина, д. 5 </t>
  </si>
  <si>
    <t>№79-СМР/2016 от 24.05.2016</t>
  </si>
  <si>
    <t>№82-СМР/2016 от 26.05.2016</t>
  </si>
  <si>
    <t>ООО "Спецстрой-Сахалин"</t>
  </si>
  <si>
    <t>№83-СМР/2016 от 26.05.2016</t>
  </si>
  <si>
    <t>№85-СМР/2016 от 06.06.2016</t>
  </si>
  <si>
    <t>№87-СМР/2016 от 30.05.2016</t>
  </si>
  <si>
    <t>№89/1-СМР/2016 от 30.05.2016</t>
  </si>
  <si>
    <t>№89/2-СМР/2016 от 30.05.2016</t>
  </si>
  <si>
    <t>№90/1-СМР/2016 от 08.06.2016</t>
  </si>
  <si>
    <t>№90/2-СМР/2016 от 06.06.2016</t>
  </si>
  <si>
    <t>№91-СМР/2016 от 31.05.2016</t>
  </si>
  <si>
    <t>№93/1-СМР/2016 от 07.06.2016</t>
  </si>
  <si>
    <t>ООО "Авантажстрой"</t>
  </si>
  <si>
    <t>№93/2-СМР/2016 от 07.06.2016</t>
  </si>
  <si>
    <t>№96-СМР/2016 от 06.06.2016</t>
  </si>
  <si>
    <t>№99-СМР/2016 от 06.06.2016</t>
  </si>
  <si>
    <t>№108-СМР/2016 от 14.06.2016</t>
  </si>
  <si>
    <t>ООО "Строитель-ХХI"</t>
  </si>
  <si>
    <t>№109-СМР/2016 от 06.06.2016</t>
  </si>
  <si>
    <t>№97/2-СМР/2016 от 15.06.2016</t>
  </si>
  <si>
    <t>№111-СМР/2016 от 10.06.2016</t>
  </si>
  <si>
    <t>ООО "Форт-1"</t>
  </si>
  <si>
    <t>№97/1-СМР/2016 от 15.06.2016</t>
  </si>
  <si>
    <t>протокол №3 от 25.05.2016</t>
  </si>
  <si>
    <t>постановление №232 от 08.04.2016</t>
  </si>
  <si>
    <t xml:space="preserve">постановление №1678 от 25.12.2015     </t>
  </si>
  <si>
    <t>протокол б/н от 23.11.2015</t>
  </si>
  <si>
    <t>постановление №54 от 17.05.2016</t>
  </si>
  <si>
    <t>№92-СМР/2016 от 17.06.2016</t>
  </si>
  <si>
    <t xml:space="preserve">№38/2-СМР/2016 от 06.04.2016                      </t>
  </si>
  <si>
    <t>№95-СМР/2016 от 08.06.2016</t>
  </si>
  <si>
    <t xml:space="preserve">ООО "Сахалинская промышленная компания"       </t>
  </si>
  <si>
    <t>ООО "Позитрон-С"</t>
  </si>
  <si>
    <t>№76-СМР/2016 от 31.05.2016 года</t>
  </si>
  <si>
    <t>ООО "ССТА"</t>
  </si>
  <si>
    <t>№77-СМР/2016 от 31.05.2016 года</t>
  </si>
  <si>
    <t>№90/3-СМР/2016 от 08.06.2016 года</t>
  </si>
  <si>
    <t>№94-СМР/2016 от 14.06.20216</t>
  </si>
  <si>
    <t>ООО "СКФ Рубин"</t>
  </si>
  <si>
    <t>№103-СМР/2016 от 16.06.2016 года</t>
  </si>
  <si>
    <t>№104-СМР/2016 от 16.06.2016 года</t>
  </si>
  <si>
    <t>№105-СМР/2016 от 16.06.2016 года</t>
  </si>
  <si>
    <t>№106-СМР/2016 от 16.06.2016 года</t>
  </si>
  <si>
    <t>№110-СМР/2016 от 17.06.2016 года</t>
  </si>
  <si>
    <t>№101/2-СМР/2016 от 17.06.2016 года</t>
  </si>
  <si>
    <t>№117-СМР/2016 от 27.06.2016 года</t>
  </si>
  <si>
    <t>№112-СМР/2016 от 16.06.2016 года</t>
  </si>
  <si>
    <t>ООО "СПК"</t>
  </si>
  <si>
    <t>№133-СМР/2016 от 04.07.2016 года</t>
  </si>
  <si>
    <t>№123-СМР/2016 от 04.07.2016 года</t>
  </si>
  <si>
    <t>ООО "СК Техно-Строй"</t>
  </si>
  <si>
    <t>Плановая стоимость работы (услуги) по краткосрочному плану, утв. Пост. ПСО от 17.03.2016 № 114, руб.</t>
  </si>
  <si>
    <t>Наименование подрядной организации</t>
  </si>
  <si>
    <t>Стоимость работ в соответствии с договором подряда, руб.</t>
  </si>
  <si>
    <t>Дата перечисления</t>
  </si>
  <si>
    <t>Отклонение фактической стоимости от плановой</t>
  </si>
  <si>
    <t>Процент выполнения, %</t>
  </si>
  <si>
    <t>№107-СМР/2016 от 21.06.2016 года</t>
  </si>
  <si>
    <t>№ 115-СМР/2016 от 04.07.2016 года</t>
  </si>
  <si>
    <t>№115-СМР/2016 года от 04.07.2016 года</t>
  </si>
  <si>
    <t>№118-СМР/2016 от 04.07.2016 года</t>
  </si>
  <si>
    <t>№ 125-СМР/2016 от 05.07.2016 года</t>
  </si>
  <si>
    <t>ООО "ТИСБизнесСтрой"</t>
  </si>
  <si>
    <t>№125-СМР/2016т от 05.07.2016 года</t>
  </si>
  <si>
    <t>№132-СМР/2016 от 30.06.2016</t>
  </si>
  <si>
    <t>Форма РО3</t>
  </si>
  <si>
    <t>№136-СМР/2016 от 13.07.2016</t>
  </si>
  <si>
    <t>ООО "СТРОЙКОМ-ПРОГРЕСС"</t>
  </si>
  <si>
    <t>№120-СМР/2016 от 13.07.2016</t>
  </si>
  <si>
    <t>ООО "Стройком-прогресс"</t>
  </si>
  <si>
    <t>134-СМР/2016 от 06.07.2016</t>
  </si>
  <si>
    <t>ООО "АСКО-88"</t>
  </si>
  <si>
    <t>114-СМР/2016 от 04.07.2016</t>
  </si>
  <si>
    <t>ООО "Альпстро-ДВ"</t>
  </si>
  <si>
    <t>№116-СМР/2016 от 05.07.20216</t>
  </si>
  <si>
    <t>ООО "Белый Явор"</t>
  </si>
  <si>
    <t>№102/2-СМР/2016 от 16.06.2016</t>
  </si>
  <si>
    <t>№101/1-СМР/2016 от 17.06.2016 года</t>
  </si>
  <si>
    <t>ООО "Регион"</t>
  </si>
  <si>
    <t>№101/3-СМР/2016 от 17.06.2016 года</t>
  </si>
  <si>
    <t>ООО "Ресурс-Плюс"</t>
  </si>
  <si>
    <t>№102/1-СМР/2016 от 16.06.2016 года</t>
  </si>
  <si>
    <t>№100/1-СМР/2016 от20.06.2016 года</t>
  </si>
  <si>
    <t>№113-СМР/2016 от 04.07.2016</t>
  </si>
  <si>
    <t>№119-СМР/2016 от 13.06.2016</t>
  </si>
  <si>
    <t>ООО "Арминэ"</t>
  </si>
  <si>
    <t>№121-СМР/2016 от 19.07.2016</t>
  </si>
  <si>
    <t>№129-СМР/2016 от 19.07.2016</t>
  </si>
  <si>
    <t>№156-СМР/2016 от 20.07.2016</t>
  </si>
  <si>
    <t>ООО "ДИНМАНСТРОЙ"</t>
  </si>
  <si>
    <t>№142-СМР/2016 от 20.07.2016</t>
  </si>
  <si>
    <t>№148-СМР/2016 от 26.07.2016</t>
  </si>
  <si>
    <t>с. Мгачи, ул. Первомайская, д. 52</t>
  </si>
  <si>
    <t>№161-СМР/2016 от 25.07.2016 года</t>
  </si>
  <si>
    <t>№138-СМР/2016 от 22.07.2016 года.</t>
  </si>
  <si>
    <t>№192-СМР/2016 от 09.08.2016 года.</t>
  </si>
  <si>
    <t>№137-СМР/2016 от 14.07.2016 года</t>
  </si>
  <si>
    <t>№163-СМР/2016 от 03.08.2016 года</t>
  </si>
  <si>
    <t>№130-СМР/2016 от 29.06.2016 года</t>
  </si>
  <si>
    <t>ООО "Сенат"</t>
  </si>
  <si>
    <t>15.02.206</t>
  </si>
  <si>
    <t>№157-СМР/2016 от 19.06.2016 года</t>
  </si>
  <si>
    <t>№64-ПД/2016</t>
  </si>
  <si>
    <t>ПСД (теплоснабжение)</t>
  </si>
  <si>
    <t>№164-СМР/2016 от 03.08.2016</t>
  </si>
  <si>
    <t>ИП Ташуян В.Ю.</t>
  </si>
  <si>
    <t>№185-СМР/2016 от 01.08.2016</t>
  </si>
  <si>
    <t>№198-СМР/2016 от 15.08.2016</t>
  </si>
  <si>
    <t>№181-СМР/2016 от 01.08.2016</t>
  </si>
  <si>
    <t>№205-СМР/2016 от 04.08.2016</t>
  </si>
  <si>
    <t>№186-СМР/2016 от 19.08.2016</t>
  </si>
  <si>
    <t>№139-СМР/2016 от 29.07.2016</t>
  </si>
  <si>
    <t>ООО "Сахадлинская кровля"</t>
  </si>
  <si>
    <t>№202-СМР/2016 от 04.08.2016</t>
  </si>
  <si>
    <t>№173-СМР/2016 от 09.08.2016</t>
  </si>
  <si>
    <t>№187-СМР/2016 от 10.08.2016</t>
  </si>
  <si>
    <t>№160-СМР/2016 от 19.07.2016</t>
  </si>
  <si>
    <t>№150-СМР/2016 от 25.07.2016</t>
  </si>
  <si>
    <t>№100/2-СМР/2016 от 20.06.2016</t>
  </si>
  <si>
    <t>№100/2-СМР/2016 от 20.06.2018</t>
  </si>
  <si>
    <t>№100/2/-СМР/2016 от 20.06.2016</t>
  </si>
  <si>
    <t>№151-СМР/2016 от 02.08.2016</t>
  </si>
  <si>
    <t>№152-СМР/2016 от 03.08.2016</t>
  </si>
  <si>
    <t>№196-СМР/2016 от 15.08.2016</t>
  </si>
  <si>
    <t>№167-СМР/2016 от 03.08.2016</t>
  </si>
  <si>
    <t>№168-СМР/2016 от 04.08.2016</t>
  </si>
  <si>
    <t>ООО "Высота"</t>
  </si>
  <si>
    <t>№201-СМР/2016 от 04.08.2016</t>
  </si>
  <si>
    <t>№213-СМР/2016 от 17.08.2016</t>
  </si>
  <si>
    <t>Крыша (чердачное перекрытие)</t>
  </si>
  <si>
    <t>№180-СМР/2016 от 17.08.2016</t>
  </si>
  <si>
    <t>№179-СМР/2016 от 02.08.2016</t>
  </si>
  <si>
    <t>№ 179-СМР/2016 от 02.08.2016</t>
  </si>
  <si>
    <t>№199-СМР/2016 от 10.08.2016</t>
  </si>
  <si>
    <t>№135-СМР/216 от 12.07.2016</t>
  </si>
  <si>
    <t>№149-СМР/2016 от 25.07.2016</t>
  </si>
  <si>
    <t>ООО "Строительно-Коммерческая Фирма "МИРА"</t>
  </si>
  <si>
    <t>№191-СМР/2016 от 10.08.2016</t>
  </si>
  <si>
    <t>г. Александровск-Сахалинский, ул. Ленина, д. 2</t>
  </si>
  <si>
    <t>№169-СМР/2016 от 05.08.2016</t>
  </si>
  <si>
    <t>№184-СМР/2016 от 15.08.2016</t>
  </si>
  <si>
    <t>ООО СК "ТехноСтрой"</t>
  </si>
  <si>
    <t>№165-СМР/2016 от 16.08.2016</t>
  </si>
  <si>
    <t>№158-СМР/2016 от 02.08.2016</t>
  </si>
  <si>
    <t>ООО  "Стройград-1"</t>
  </si>
  <si>
    <t>№126-СМР/2016 от  06.07.2016</t>
  </si>
  <si>
    <t>ООО "Легион"</t>
  </si>
  <si>
    <t>№128-СМР/2016 от 06.07.2016</t>
  </si>
  <si>
    <t>№162-СМР/2016 от 27.07.2016</t>
  </si>
  <si>
    <t>ООО "Стройуправление"</t>
  </si>
  <si>
    <t xml:space="preserve"> №159-СМР/2016 от 02.08.2016</t>
  </si>
  <si>
    <t>№122-СМР/2016 от 19.07.2016</t>
  </si>
  <si>
    <t xml:space="preserve"> ООО СК "ЭНКИ"</t>
  </si>
  <si>
    <t>№188-СМР/2016 от 10.08.2016</t>
  </si>
  <si>
    <t>№124-СМР/2016 от 28.07.2016</t>
  </si>
  <si>
    <t>№153-СМР/2016 от 02.08.2016</t>
  </si>
  <si>
    <t>№177-СМР/2016 от 01.08.2016</t>
  </si>
  <si>
    <t>№171-СМР/2016 от 12.08.2016</t>
  </si>
  <si>
    <t>01.11.2.016</t>
  </si>
  <si>
    <t>№170-СМР/2016 от 12.08.2016</t>
  </si>
  <si>
    <t>№214-СМР/2016 от 24.08.2016</t>
  </si>
  <si>
    <t>№212-СМР/2016 от 25.08.2016</t>
  </si>
  <si>
    <t>№204-СМР/2016 от 12.08.2016</t>
  </si>
  <si>
    <t>№176-СМР/2016 от 01.08.2016</t>
  </si>
  <si>
    <t>ООО УК "ЖЭУ-7"</t>
  </si>
  <si>
    <t>№182-СМР/2016 от 11.08.2016</t>
  </si>
  <si>
    <t>№183-СМР/2016 от 10.08.2016</t>
  </si>
  <si>
    <t>№210-СМР/2016 от 29.08.2016</t>
  </si>
  <si>
    <t>ИП Джусоев К.И.</t>
  </si>
  <si>
    <t>№216-СМР/2016 от 31.08.2016</t>
  </si>
  <si>
    <t>№178-СМР/2016 от 24.08.2016</t>
  </si>
  <si>
    <t>№218-СМР/2016 от 24.08.2016</t>
  </si>
  <si>
    <t>№217-СМР/2016 от 19.08.2016</t>
  </si>
  <si>
    <t>№154-СМР/2016 от 11.08.2016</t>
  </si>
  <si>
    <t>№224-СМР/2016 от 19.08.2016</t>
  </si>
  <si>
    <t>ООО "Визит"</t>
  </si>
  <si>
    <t>№147-СМР/2016 от 11.08.2016</t>
  </si>
  <si>
    <t xml:space="preserve">г. Южно-Сахалинск, пл. р-н Хомутово, ул. 3-я Набережная, д. 8 </t>
  </si>
  <si>
    <t>№215-СМР/2016 от 01.09.2016</t>
  </si>
  <si>
    <t>№211-СМР/2016 от 29.08.2016</t>
  </si>
  <si>
    <t>ООО "СМК Юнона"</t>
  </si>
  <si>
    <t>№146-СМР/2016 от 25.07.2016</t>
  </si>
  <si>
    <t>№193-СМР/2016 от 22.08.2016</t>
  </si>
  <si>
    <t>Крыша (2 часть)</t>
  </si>
  <si>
    <t>№219-СМР/2016 от 01.09.2016</t>
  </si>
  <si>
    <t>№194-СМР/2016 от 23.08.2016</t>
  </si>
  <si>
    <t>№200-СМР/2016 от 24.08.2016</t>
  </si>
  <si>
    <t>15.102016</t>
  </si>
  <si>
    <t>№172-СМР/2016 от 08.08.2016</t>
  </si>
  <si>
    <t>№207-СМР/2016 от 31.08.2016</t>
  </si>
  <si>
    <t>№220-СМР/2016 от 05.09.2016</t>
  </si>
  <si>
    <t>№ 220-СМР/2016 от 05.09.2016</t>
  </si>
  <si>
    <t>с. Троицкое, ул. Центральная, д. 34</t>
  </si>
  <si>
    <t>№208-СМР/2016 от 02.09.2016</t>
  </si>
  <si>
    <t>ООО "Ситройград-1"</t>
  </si>
  <si>
    <t>01.09.206</t>
  </si>
  <si>
    <t>Стройконтроль</t>
  </si>
  <si>
    <t>№1-СК/2016 от 20.04.2016</t>
  </si>
  <si>
    <t>ООО "СтройКонтроль"</t>
  </si>
  <si>
    <t xml:space="preserve">г. Поронайск, ул. Победы, д.86 </t>
  </si>
  <si>
    <t>№225-СМР/2016 от 05.09.2016</t>
  </si>
  <si>
    <t>№206-СМР/2016 от 31.08.2016</t>
  </si>
  <si>
    <t>№229-СМР/2016 от 02.09.2016</t>
  </si>
  <si>
    <t>№221-СМР/2016 от 01.09.2016</t>
  </si>
  <si>
    <t>№226-СМР/2016 от 12.09.2016</t>
  </si>
  <si>
    <t>№222-СМР/2016 от 01.09.2016</t>
  </si>
  <si>
    <t>№203-СМР/2016 от 18.08.2016</t>
  </si>
  <si>
    <t>ООО "Призма"</t>
  </si>
  <si>
    <t>№230-СМР/2016 от 19.09.2016</t>
  </si>
  <si>
    <t>№223-СМР/2016 от 23.08.2016</t>
  </si>
  <si>
    <t>№227-СМР/2016 от 15.09.2016</t>
  </si>
  <si>
    <t>с. Быков, ул. Горняцкая, д. 11</t>
  </si>
  <si>
    <t>с. Новое, ул. Центральная, д. 13</t>
  </si>
  <si>
    <t>с. Горнозаводск, ул. Артемовская, д. 5</t>
  </si>
  <si>
    <t>г. Оха, ул. 60 лет СССР, д. 36, корп. 3</t>
  </si>
  <si>
    <t>Строительный контроль</t>
  </si>
  <si>
    <t>Примечание</t>
  </si>
  <si>
    <t>ПСД на 2017 год</t>
  </si>
  <si>
    <t>г. Холмск, ул. Капитанская, д. 2</t>
  </si>
  <si>
    <t>Перенос срока в связи с аварийным состоянием  чердачного перекрытия.</t>
  </si>
  <si>
    <t>Переход на 2017г.</t>
  </si>
  <si>
    <t>№255-СМР/2016 от 10.10.2016</t>
  </si>
  <si>
    <t>№250-СМР/2016 от 18.10.2016</t>
  </si>
  <si>
    <t>№237-СМР/2016 от 30.09.2016</t>
  </si>
  <si>
    <t>№240-СМР/2016 от 07.10.2016</t>
  </si>
  <si>
    <t>№246-СМР/2016 от 30.09.2016</t>
  </si>
  <si>
    <t>№245-СМР/2016 от 30.09.2016</t>
  </si>
  <si>
    <t>№244-СМР/2016 от 04.10.2016</t>
  </si>
  <si>
    <t>№233-СМР/2016 от 19.09.2016</t>
  </si>
  <si>
    <t>№231-СМР/2016 от 19.09.2016</t>
  </si>
  <si>
    <t>№232-СМР-2016 от 19.09.2016</t>
  </si>
  <si>
    <t>№241-СМР/2016 от 03.10.2016</t>
  </si>
  <si>
    <t>№239-СМР/2016 от 30.09.2016</t>
  </si>
  <si>
    <t>№238-СМР-2016 от 03.10.2016</t>
  </si>
  <si>
    <t>Нарушение срока исполнения обязательств подрядчиком</t>
  </si>
  <si>
    <t>Документы на доработке по замечаниям Фонда</t>
  </si>
  <si>
    <t>Документы находятся на оплате в Фонде</t>
  </si>
  <si>
    <t>Документы на доработке по азмечаниям фонда</t>
  </si>
  <si>
    <t xml:space="preserve">Документы на доработке по замечаниям фонда
</t>
  </si>
  <si>
    <t>Документы на доработке по замечаниям фонда</t>
  </si>
  <si>
    <t>Пересогласование проектного решения в связи не соответствием проектной документации</t>
  </si>
  <si>
    <t>Документы находятся на проверке в Фонде</t>
  </si>
  <si>
    <t>Работы не начаты в связи с невозможностью подьезда к дому из-за производства работ по ремонту теплотрассы.</t>
  </si>
  <si>
    <t xml:space="preserve">Отсутствие материала у завода изготовителся </t>
  </si>
  <si>
    <t>Нарушение срока исполнения обязательств подрядчиком в связи с возникновением дополнительных работ</t>
  </si>
  <si>
    <t>Приостановка работ по гидрогеологическим условиям (высокий уровень грунтовых вод)</t>
  </si>
  <si>
    <t>Продление сроков работ в связи с изменением перечня работ, а так же установка причины подтопления фундамента.</t>
  </si>
  <si>
    <t xml:space="preserve">Изменение проектной документации. Отсутствие материала у завода изготовителся </t>
  </si>
  <si>
    <t>Не предоставленна документация подрядной организацией</t>
  </si>
  <si>
    <t xml:space="preserve">Согласно письма Администрации МО срок исполнения работ перенесен на межотопительный прериод, в настоящий период КС-2 находятся в Фонде на согласовании </t>
  </si>
  <si>
    <t xml:space="preserve">Продление работ  в связи с отсутствием материала у завода изготовителся </t>
  </si>
  <si>
    <t>Выверка объемов выполненных работ инженером Фонда</t>
  </si>
  <si>
    <t xml:space="preserve">Сдеклана отмостка. Продление работ  в связи с отсутствием материала у завода изготовителся </t>
  </si>
  <si>
    <t xml:space="preserve">Сделано утепление и изолирована ветровлагозащитной пленкой. Продление работ  в связи с отсутствием материала у завода изготовителся </t>
  </si>
  <si>
    <t xml:space="preserve">Сделано отмостка и начато утепление и изолирование ветровлагозащитной пленкой. Продление работ  в связи с отсутствием материала у завода изготовителся </t>
  </si>
  <si>
    <t xml:space="preserve">Сделано все кроме панелей. Продление работ  в связи с отсутствием материала у завода изготовителся </t>
  </si>
  <si>
    <t xml:space="preserve">Ведутся работы по утеплению фасада. Продление работ  в связи с отсутствием материала у завода изготовителся </t>
  </si>
  <si>
    <t xml:space="preserve">Произведен монтаж утеплителя и всей подсистемы. Продление работ  в связи с отсутствием материала у завода изготовителся </t>
  </si>
  <si>
    <t xml:space="preserve">Сделена отмостка. Продление работ  в связи с отсутствием материала у завода изготовителся </t>
  </si>
  <si>
    <t xml:space="preserve">Сделана отмаостка. Продление работ  в связи с отсутствием материала у завода изготовителся </t>
  </si>
  <si>
    <t>Нарушение срока исполнения обязательств подрядчиком.  Пересогласование проекта. Отсутствие материала у завода изготовителся.</t>
  </si>
  <si>
    <t>"Документы на доработке по замечаниям фонда
"</t>
  </si>
  <si>
    <t>Нарушение срока исполнения обязательств подрядчиком. Возникновение дополнительных работ.</t>
  </si>
  <si>
    <t>Разработал отдела проектирования "Фонда капитального ремонта"</t>
  </si>
  <si>
    <t>Нецелесообразно - исключить в связи с тем что дом является блокированной застройкой.</t>
  </si>
  <si>
    <t>Нецелесообразно</t>
  </si>
  <si>
    <t>№143-СМР/2016 от 01.08.2016</t>
  </si>
  <si>
    <t xml:space="preserve">№262-СМР/2016 от 18.10.2016 </t>
  </si>
  <si>
    <t>ООО "Рубин"</t>
  </si>
  <si>
    <t>№144-СМР/2016 от 01.08.2016</t>
  </si>
  <si>
    <t>141-СМР/2016 от 18.07.2016</t>
  </si>
  <si>
    <t>№242-СМР/2016 от 27.09.2016</t>
  </si>
  <si>
    <t>№257-СМР/2016 от 10.10.2016</t>
  </si>
  <si>
    <t>ИП Тишков В.В.</t>
  </si>
  <si>
    <t>№197-СМР/2016 от 10.08.2016</t>
  </si>
  <si>
    <t>№234-СМР/2016 от 19.09.2016</t>
  </si>
  <si>
    <t>ИП Ташуян В Ю</t>
  </si>
  <si>
    <t>№209-СМР/2016 от 12.08.2016</t>
  </si>
  <si>
    <t>№289-СМР/2016 от 21.10.2016</t>
  </si>
  <si>
    <t>№253-СМР/2016 от 18.10.2016</t>
  </si>
  <si>
    <t>Письмом Администрации МО  о перенесении срока капитального ремонта</t>
  </si>
  <si>
    <t>Нарушение срока исполнения обязательств подрядчиком, в связи с погодными условиями</t>
  </si>
  <si>
    <t>Конструктивов - 180
Домов - 142</t>
  </si>
  <si>
    <t>№268-СМР/2016 от 18.10.2016</t>
  </si>
  <si>
    <t>№247-СМР/2016 от 10.10.2016</t>
  </si>
  <si>
    <t>№ 264-СМР/2016 от 18.10.2016</t>
  </si>
  <si>
    <t>№ 249-СМР/2016 от 14.10.2016</t>
  </si>
  <si>
    <t>№263-СМР/2016 от 21.10.2016</t>
  </si>
  <si>
    <t>№ 254-СМР/2016 от 18.10.2016</t>
  </si>
  <si>
    <t>№248-СМР/2016 от 03.10.2016</t>
  </si>
  <si>
    <t>№256-СМР/2016 от 18.10.2016</t>
  </si>
  <si>
    <t>№243-СМР/2016 от 23.09.2016</t>
  </si>
  <si>
    <t>№ 277-СМР/2016 от 20.10.2016</t>
  </si>
  <si>
    <t>№ 276-СМР/2016 от 21.10.2016</t>
  </si>
  <si>
    <t>№288-СМР/2016 от 25.10.2016</t>
  </si>
  <si>
    <t>№284-СМР/2016 от 25.10.2016</t>
  </si>
  <si>
    <t>№282-СМР/2016 от 03.11.2016</t>
  </si>
  <si>
    <t>№ 265-СМР/2016 от 19.10.2016</t>
  </si>
  <si>
    <t>№ 275-СМР/2016 от 24.10.2016</t>
  </si>
  <si>
    <t>ООО "Компания Стройсмодуль"</t>
  </si>
  <si>
    <t>№ 271-СМР/2016 от 24.10.2016</t>
  </si>
  <si>
    <t>№ 296-СМР/2016 от 31.10.2016</t>
  </si>
  <si>
    <t>№ 281-СМР/2016 от 26.10.2016</t>
  </si>
  <si>
    <t>№ 294-СМР/2016 от 31.10.2016</t>
  </si>
  <si>
    <t>№285-СМР/2016 от 28.10.2016</t>
  </si>
  <si>
    <t>№267-СМР/2016 от 19.10.2016</t>
  </si>
  <si>
    <t>№252-СМР/2016 от 18.10.2016</t>
  </si>
  <si>
    <t>№259-СМР/2016 от 18.10.216</t>
  </si>
  <si>
    <t>№270-СМР/2016 от 24.10.2016</t>
  </si>
  <si>
    <t>ИП Ташуян Вагаршак Юрьевич</t>
  </si>
  <si>
    <t>№272-СМР/2016 от 24.10.2016</t>
  </si>
  <si>
    <t>№262-СМР/2016 от 18.10.2016</t>
  </si>
  <si>
    <t>№278-СМР/2016 от 24.10.2016</t>
  </si>
  <si>
    <t>№273-СМР/2016 от 21.10.2016</t>
  </si>
  <si>
    <t>№261-СМР/2016 от 19.10.2016</t>
  </si>
  <si>
    <t>№287-СМР/2016 от 21.10.2016</t>
  </si>
  <si>
    <t>№283-СМР/2016 от 27.10.2016</t>
  </si>
  <si>
    <t>№251-СМР/2016 от 10.10.2016</t>
  </si>
  <si>
    <t>№13-ПД/2017 от 02.11.2016</t>
  </si>
  <si>
    <t xml:space="preserve">Северо-Курильск, ул. 60 лет Октября, д. 1, лит. А </t>
  </si>
  <si>
    <t>Северо-Курильск, ул. 60 лет Октября, д. 1, лит. Б</t>
  </si>
  <si>
    <t>Северо-Курильск, ул. Вилкова, д. 11</t>
  </si>
  <si>
    <t>Северо-Курильск, ул. Вилкова, д. 3</t>
  </si>
  <si>
    <t>Северо-Курильск, ул. Вилкова, д. 30</t>
  </si>
  <si>
    <t>Северо-Курильск, ул. Вилкова, д. 7, лит. А</t>
  </si>
  <si>
    <t>Северо-Курильск, ул. Сахалинская, д. 59, лит. А</t>
  </si>
  <si>
    <t>Северо-Курильск, ул. Шутова, д. 30</t>
  </si>
  <si>
    <t>г. Макаров, ул. Школьная, д. 23</t>
  </si>
  <si>
    <t>г. Макаров, ул. Школьная, д. 23, лит.А</t>
  </si>
  <si>
    <t>г. Макаров, ул. Ленинградская, д.14</t>
  </si>
  <si>
    <t>г. Макаров, ул. Красноармейская, д. 30</t>
  </si>
  <si>
    <t>г. Макаров, ул. Красноармейская, д. 22</t>
  </si>
  <si>
    <t>№ 10-ПД/2017 от 02.11.2016г.</t>
  </si>
  <si>
    <t>ОО "СК Техно-Строй"ген.дир. Павлов А.О.тел. 300-954</t>
  </si>
  <si>
    <t>с. Горнозаводск, ул. Советская, д. 61</t>
  </si>
  <si>
    <t>с. Горнозаводск, ул. Советская, д. 59</t>
  </si>
  <si>
    <t>г. Невельск, ул. Школьная, д. 87</t>
  </si>
  <si>
    <t>г. Невельск, ул. Ленина, д. 82</t>
  </si>
  <si>
    <t>г. Невельск, ул. Ленина, д. 65</t>
  </si>
  <si>
    <t>№ 3-ПД/2017 от 02.11.2016</t>
  </si>
  <si>
    <t>Курильск, ул. 60 лет Октября, д. 10</t>
  </si>
  <si>
    <t>Курильск, ул. 60 лет Октября, д. 4</t>
  </si>
  <si>
    <t>Курильск, ул. 60 лет Октября, д. 5</t>
  </si>
  <si>
    <t>Курильск, ул. 60 лет Октября, д. 6</t>
  </si>
  <si>
    <t>с. Рейдово, ул. Зеленая, д. 1</t>
  </si>
  <si>
    <t>№ 2-ПД/2017 от 02.11.2016</t>
  </si>
  <si>
    <t>г. Поронайск, ул. Восточная, д. 125, лит. А</t>
  </si>
  <si>
    <t>г. Поронайск, ул. Гагарина, д. 3</t>
  </si>
  <si>
    <t>г. Поронайск, ул. Сахалинская, д. 11</t>
  </si>
  <si>
    <t>г. Поронайск, ул. Сахалинская, д. 13</t>
  </si>
  <si>
    <t>г. Поронайск, ул. Советская, д. 35, лит. А</t>
  </si>
  <si>
    <t>пгт. Вахрушев, ул. Центральная, д. 74</t>
  </si>
  <si>
    <t>пгт. Вахрушев, ул. Центральная, д. 76</t>
  </si>
  <si>
    <t>№ 5-ПД/2017 от 24.10.2016</t>
  </si>
  <si>
    <t>г. Холмск, ул. 60 лет Октября, д. 8</t>
  </si>
  <si>
    <t>г. Холмск, ул. Крузерштерна, д. 2 лит. Д</t>
  </si>
  <si>
    <t>г. Холмск, ул. Молодежная, д. 17</t>
  </si>
  <si>
    <t>г. Холмск, ул. Победы, д. 1</t>
  </si>
  <si>
    <t>г. Холмск, ул. Победы, д. 2</t>
  </si>
  <si>
    <t>г. Холмск, ул. Портовая, д. 8, лит. А</t>
  </si>
  <si>
    <t>г. Холмск, ул. Советская, д. 130</t>
  </si>
  <si>
    <t>г. Холмск, ул. Советская, д. 68</t>
  </si>
  <si>
    <t>г. Холмск, ул. Советская, д. 98</t>
  </si>
  <si>
    <t>с. Костромское, ул. Огородная, д. 4</t>
  </si>
  <si>
    <t>с. Костромское, ул. Школьная, д. 7</t>
  </si>
  <si>
    <t>с. Правда, ул. Речная, д. 50</t>
  </si>
  <si>
    <t>с. Правда, ул. Речная, д. 57</t>
  </si>
  <si>
    <t>с. Правда, ул. Центральная, д. 13</t>
  </si>
  <si>
    <t>с. Чехов, ул. Фабричная, д. 10</t>
  </si>
  <si>
    <t>с. Чехов, ул. Фабричная, д. 8</t>
  </si>
  <si>
    <t>с. Яблочное, ул. Центиральная, д. 50, лит. А</t>
  </si>
  <si>
    <t>с. Яблочное, ул. Центиральная, д. 50, лит. В</t>
  </si>
  <si>
    <t>с. Яблочное, ул. Центиральная, д. 88, лит. А</t>
  </si>
  <si>
    <t>№ 8-ПД/2017 от 24.10.2016</t>
  </si>
  <si>
    <t>г. Корсаков, ул. 2-й микрорайон, д. 5</t>
  </si>
  <si>
    <t>г. Корсаков, б-р. Приморский, д. 12</t>
  </si>
  <si>
    <t>г. Корсаков, ул. Советская, д. 16</t>
  </si>
  <si>
    <t>г. Корсаков, ул. Советская, д. 18</t>
  </si>
  <si>
    <t>г. Корсаков, ул. Советская, д. 49</t>
  </si>
  <si>
    <t>с. Озерское, ул. Центральная, д. 70</t>
  </si>
  <si>
    <t>с. Соловьевка, д. 271</t>
  </si>
  <si>
    <t>с. Соловьевка, д. 272</t>
  </si>
  <si>
    <t>с. Соловьевка, д. 273</t>
  </si>
  <si>
    <t>с. Третья Падь, д. 33</t>
  </si>
  <si>
    <t>с. Третья Падь, д. 34</t>
  </si>
  <si>
    <t>№ 12-ПД/2017 от 28,10.2016</t>
  </si>
  <si>
    <t>№260-СМР/2016 от 17.10.2016</t>
  </si>
  <si>
    <t>№266-СМР/2016 от 23.10.2016</t>
  </si>
  <si>
    <t>№280-СМР/2016 от 27.10.2016</t>
  </si>
  <si>
    <t>№258-СМР/2016 от 17.10.2016</t>
  </si>
  <si>
    <t>№274-СМР/2016 от 17.10.2016</t>
  </si>
  <si>
    <t>№298-СМР/2016</t>
  </si>
  <si>
    <t>№292-СМР/2016 от 01.11.2016</t>
  </si>
  <si>
    <t>ООО "Скала"</t>
  </si>
  <si>
    <t>№293-СМР/2016 от 01.11.2016</t>
  </si>
  <si>
    <t>№297-СМР/2016 от 01.11.2016</t>
  </si>
  <si>
    <t>№300-СМР/2016 от 01.11.2016</t>
  </si>
  <si>
    <t>№291-СМР/2016</t>
  </si>
  <si>
    <t>№295-СМР/2016 от 31.10.2016</t>
  </si>
  <si>
    <t>ООО "Строительно-промышленная компания"</t>
  </si>
  <si>
    <t>№279-СМР/2016 от 27.10.2016</t>
  </si>
  <si>
    <t>№290-СМР/2016 от 21.10.2016</t>
  </si>
  <si>
    <t>№286-СМР/2016 от 17.10.2016</t>
  </si>
  <si>
    <t>№299-СМР/2016 от 01.11.2016</t>
  </si>
  <si>
    <t>№175-СМР-2016 от 04.08.2016</t>
  </si>
  <si>
    <t>№228-СМР/2016 от 19.09.2016</t>
  </si>
  <si>
    <t>И.о. генерального директора</t>
  </si>
  <si>
    <t>Н.А.Мизинина</t>
  </si>
  <si>
    <t>№235-СМР/2016 от 19.09.2016</t>
  </si>
  <si>
    <t>г. Углегорск, ул. Победы, д. 182</t>
  </si>
  <si>
    <t>г. Углегорск, ул. Победы, д. 182, лит. А</t>
  </si>
  <si>
    <t>г. Углегорск, ул. Рабочая, д. 2</t>
  </si>
  <si>
    <t>с. Краснополье, ул. Юбилейная, д. 29</t>
  </si>
  <si>
    <t>г. Шахтерск, ул. Интернациональная, д. 19</t>
  </si>
  <si>
    <t>г. Шахтерск, ул. Интернациональная, д. 23</t>
  </si>
  <si>
    <t>г. Шахтерск, ул. Интернациональная, д. 26</t>
  </si>
  <si>
    <t>№1-ПД/2017 от 27.10.2016</t>
  </si>
  <si>
    <t>г. Углегорск, ул. Свободная, д. 45</t>
  </si>
  <si>
    <t>ООО "ПРИЗМА"</t>
  </si>
  <si>
    <t>№14-ПД/207 от 28.10.2016</t>
  </si>
  <si>
    <t>с. Дальнее, ул. Садовая, д. 19</t>
  </si>
  <si>
    <t>г. Южно-Сахалинск, ул. Южно-Сахалинская, д.8</t>
  </si>
  <si>
    <t>№11-ПД/2017 от 27.10.2016</t>
  </si>
  <si>
    <t>ООО РОТАРИ-2000"</t>
  </si>
  <si>
    <t>п/р. Луговое, ул. Дружбы, д. 64</t>
  </si>
  <si>
    <t>п/р. Луговое, ул. Дружбы, д. 68</t>
  </si>
  <si>
    <t>п/р. Луговое, ул. Дружбы, д. 70</t>
  </si>
  <si>
    <t>п/р. Луговое, ул. Дружбы, д. 76</t>
  </si>
  <si>
    <t>п/р. Луговое, ул. Дружбы, д. 83, лит. А</t>
  </si>
  <si>
    <t>п/р. Луговое, ул. Дружбы, д. 84</t>
  </si>
  <si>
    <t>п/р. Луговое, ул. Дружбы, д. 88</t>
  </si>
  <si>
    <t>п/р. Луговое, ул. Дружбы, д. 90</t>
  </si>
  <si>
    <t>с. Дальнее, ул. Новая, д. 14</t>
  </si>
  <si>
    <t>с. Дальнее, ул. Садовая, д. 15</t>
  </si>
  <si>
    <t>с. Дальнее, ул. Студенческая, д. 13</t>
  </si>
  <si>
    <t>с. Дальнее, ул. Студенческая, д. 17</t>
  </si>
  <si>
    <t>с. Елочки, ул. Верхняя, д. 4</t>
  </si>
  <si>
    <t>с. Елочки, ул. Центральная, д. 8</t>
  </si>
  <si>
    <t>г. Южно-Сахалинск, ул. Авиационная, д. 65</t>
  </si>
  <si>
    <t>г. Южно-Сахалинск, ул. Амурская, д. 94</t>
  </si>
  <si>
    <t>г. Южно-Сахалинск, ул. Амурская, д. 96</t>
  </si>
  <si>
    <t>г. Южно-Сахалинск, ул. Больничная, д. 38</t>
  </si>
  <si>
    <t>г. Южно-Сахалинск, ул. Детская, д. 12</t>
  </si>
  <si>
    <t>г. Южно-Сахалинск, ул. Им Космонавта Поповича, д. 42</t>
  </si>
  <si>
    <t>г. Южно-Сахалинск, ул. Им Космонавта Поповича, д. 44</t>
  </si>
  <si>
    <t>г. Южно-Сахалинск, ул. Ленина, д. 164</t>
  </si>
  <si>
    <t>г. Южно-Сахалинск, ул. Невельская, д. 3</t>
  </si>
  <si>
    <t>г. Южно-Сахалинск, ул. Пограничная, д. 60, лит. А</t>
  </si>
  <si>
    <t>г. Южно-Сахалинск, ул. Сахалинская, д. 100</t>
  </si>
  <si>
    <t>г. Южно-Сахалинск, ул. Сахалинская, д. 32</t>
  </si>
  <si>
    <t>г. Южно-Сахалинск, ул. Сахалинская, д. 41</t>
  </si>
  <si>
    <t>г. Южно-Сахалинск, ул. Сахалинская, д. 43</t>
  </si>
  <si>
    <t>г. Южно-Сахалинск, ул. Украинская, д. 45</t>
  </si>
  <si>
    <t>г. Южно-Сахалинск, ул. Чехова, д. 172, лит. А</t>
  </si>
  <si>
    <t>№15-ПД/2017 от 24.10.2016</t>
  </si>
  <si>
    <t>ООО "Дельта"</t>
  </si>
  <si>
    <t>г. Южно-Сахалинск, ул. Авиационная, д. 63</t>
  </si>
  <si>
    <t>г. Южно-Сахалинск, ул. Бумажная, д. 24, лит. В</t>
  </si>
  <si>
    <t>г. Южно-Сахалинск, ул. Ленина, д. 196</t>
  </si>
  <si>
    <t>г. Южно-Сахалинск, ул. Ленина, д. 279</t>
  </si>
  <si>
    <t>г. Южно-Сахалинск, ул. Ленина, д. 281</t>
  </si>
  <si>
    <t>г. Южно-Сахалинск, ул. Ленина, д. 285</t>
  </si>
  <si>
    <t>г. Южно-Сахалинск, ул. Ленина, д. 319</t>
  </si>
  <si>
    <t>г. Южно-Сахалинск, ул. Пограничная, д. 58</t>
  </si>
  <si>
    <t>г. Южно-Сахалинск, ул. Пограничная, д. 58, лит. А</t>
  </si>
  <si>
    <t xml:space="preserve"> г. Южно-Сахалинск ул. Пушкина, д. 120</t>
  </si>
  <si>
    <t>г. Южно-Сахалинск ул. Чехова, д. 164</t>
  </si>
  <si>
    <t>г. Южно-Сахалинск ул. Чехова, д. 174</t>
  </si>
  <si>
    <t>г. Южно-Сахалинск ул. Тихоокеанская, д. 12, лит. А</t>
  </si>
  <si>
    <t>г. Южно-Сахалинск ул. Тихоокеанская, д. 2</t>
  </si>
  <si>
    <t>г. Южно-Сахалинск ул. Тихоокеанская, д. 4</t>
  </si>
  <si>
    <t>г. Южно-Сахалинск ул. Украинская, д. 111, лит. А</t>
  </si>
  <si>
    <t>г. Южно-Сахалинск ул. Физкультурная, д. 120</t>
  </si>
  <si>
    <t>г. Южно-Сахалинск ул. Физкультурная, д. 128</t>
  </si>
  <si>
    <t>г. Южно-Сахалинск ул. Физкультурная, д. 130</t>
  </si>
  <si>
    <t xml:space="preserve"> п/р. Ново-Александровск, ул. Восточная, д. 22</t>
  </si>
  <si>
    <t>г. Южно-Сахалинск, ул. Алексея Максимовича Горького, д. 62</t>
  </si>
  <si>
    <t>г. Южно-Сахалинск, ул. Емельянова А.О., д. 7</t>
  </si>
  <si>
    <t>г. Южно-Сахалинск, ул. Есенина, д. 42</t>
  </si>
  <si>
    <t>г. Южно-Сахалинск, ул. Железнодорожная, д. 81</t>
  </si>
  <si>
    <t>г. Южно-Сахалинск, ул. Им Космонавта Поповича, д. 25</t>
  </si>
  <si>
    <t>г. Южно-Сахалинск, ул. Ленина, д. 327</t>
  </si>
  <si>
    <t>г. Южно-Сахалинск, ул. Пограничная, д. 65</t>
  </si>
  <si>
    <t>г. Южно-Сахалинск, ул. Сахалинская, д. 108, лит. А</t>
  </si>
  <si>
    <t>№7-ПД/2016 от 24.10.2016</t>
  </si>
  <si>
    <t>ООО Дельта"</t>
  </si>
  <si>
    <t>г. Южно-Сахалинск, пр-кт. Мира, д. 371, лит. Б</t>
  </si>
  <si>
    <t>г. Южно-Сахалинск, ул. Комсомольская, д. 280, лит. А</t>
  </si>
  <si>
    <t>г. Южно-Сахалинск, ул. Курильская, д. 18</t>
  </si>
  <si>
    <t>г. Южно-Сахалинск, ул. Курильская, д. 18, лит. А</t>
  </si>
  <si>
    <t>г. Южно-Сахалинск, ул. Курильская, д. 2</t>
  </si>
  <si>
    <t>г. Южно-Сахалинск, ул. Курильская, д. 6, лит. А</t>
  </si>
  <si>
    <t>г. Южно-Сахалинск, ул. Курильская, д. 8, лит. А</t>
  </si>
  <si>
    <t>г. Южно-Сахалинск, ул. Ленина, д. 216</t>
  </si>
  <si>
    <t>г. Южно-Сахалинск, ул. Ленина, д. 293, лит. А</t>
  </si>
  <si>
    <t>г. Южно-Сахалинск, ул. Ленина, д. 314, лит. Б</t>
  </si>
  <si>
    <t>г. Южно-Сахалинск, ул. Ленина, д. 482</t>
  </si>
  <si>
    <t>г. Южно-Сахалинск, ул. Невельская, д. 31</t>
  </si>
  <si>
    <t>г. Южно-Сахалинск, ул. Саранская, д. 8</t>
  </si>
  <si>
    <t>г. Южно-Сахалинск, ул. Сахалинская, д. 25</t>
  </si>
  <si>
    <t>г. Южно-Сахалинск, ул. Сахалинская, д. 33</t>
  </si>
  <si>
    <t>г. Южно-Сахалинск, ул. Сахалинская, д. 34</t>
  </si>
  <si>
    <t>г. Южно-Сахалинск, ул. Тихоокеанская, д. 10, лит. А</t>
  </si>
  <si>
    <t>п/р. Луговое, ул. 2-я Железнодорожная, д. 33, лит. А</t>
  </si>
  <si>
    <t>п/р. Луговое, ул. 2-я Железнодорожная, д. 35, лит. А</t>
  </si>
  <si>
    <t>п/р. Луговое, ул. 2-я Железнодорожная, д. 37, лит. А</t>
  </si>
  <si>
    <t>п/р. Луговое, ул. 2-я Набережная, д. 72</t>
  </si>
  <si>
    <t>п/р. Луговое, ул. Дружбы, д. 99</t>
  </si>
  <si>
    <t>п/р. Луговое, ул. имени В.Гайдука, д. 39</t>
  </si>
  <si>
    <t>№18-ПД/2017 от 24.10.2016</t>
  </si>
  <si>
    <t>г. Южно-Сахалинск, пр-кт. Коммунистический, д. 1</t>
  </si>
  <si>
    <t>г. Южно-Сахалинск, пр-кт. Коммунистический, д. 74</t>
  </si>
  <si>
    <t>г. Южно-Сахалинск, пр-кт. Мира, д. 163</t>
  </si>
  <si>
    <t>г. Южно-Сахалинск, пр-кт. Мира, д. 2, лит. В</t>
  </si>
  <si>
    <t>г. Южно-Сахалинск, пр-кт. Мира, д. 5, корп. 3</t>
  </si>
  <si>
    <t>г. Южно-Сахалинск, пр-кт. Мира, д. 5, корп. 4</t>
  </si>
  <si>
    <t>г. Южно-Сахалинск, пр-кт. Победы, д. 50</t>
  </si>
  <si>
    <t>г. Южно-Сахалинск, проезд. Спортивный, д. 3</t>
  </si>
  <si>
    <t>г. Южно-Сахалинск, ул. Авиационная, д. 67</t>
  </si>
  <si>
    <t>г. Южно-Сахалинск, ул. Институтская, д. 18, лит. Б</t>
  </si>
  <si>
    <t>г. Южно-Сахалинск, ул. Карьерная, д. 33</t>
  </si>
  <si>
    <t>г. Южно-Сахалинск, ул. Карьерная, д. 39</t>
  </si>
  <si>
    <t>г. Оха, ул. 60 лет СССР, д. 13</t>
  </si>
  <si>
    <t>г. Оха, ул. 60 лет СССР, д. 36, корп.3</t>
  </si>
  <si>
    <t>г. Оха, ул. Ленина, д. 42</t>
  </si>
  <si>
    <t>г. Оха, ул. Цапко, д. 12, корп. 2</t>
  </si>
  <si>
    <t>г. Оха, ул. Корейская, д. 18</t>
  </si>
  <si>
    <t>с. Некрасовка, ул. Октябрьская, д. 16</t>
  </si>
  <si>
    <t>с. Некрасовка, ул. Октябрьская, д. 17</t>
  </si>
  <si>
    <t>с. Некрасовка, ул. Октябрьская, д. 18</t>
  </si>
  <si>
    <t>с. Некрасовка, ул. Октябрьская, д. 20</t>
  </si>
  <si>
    <t>с. Некрасовка, ул. Октябрьская, д. 24</t>
  </si>
  <si>
    <t>с. Некрасовка, ул. Октябрьская, д. 99</t>
  </si>
  <si>
    <t>с. Некрасовка, ул. Парковая, д. 13, лит. А</t>
  </si>
  <si>
    <t>№17-ПД/2017 от 24.10.2016</t>
  </si>
  <si>
    <t>ООО "Стройгазпроект"</t>
  </si>
  <si>
    <t>пгт. Ноглики, пер. Северный, д. 9</t>
  </si>
  <si>
    <t>пгт. Ноглики, ул. Сахалинская, д. 6</t>
  </si>
  <si>
    <t>пгт. Ноглики, ул. Советская, д. 57</t>
  </si>
  <si>
    <t>пгт. Ноглики, ул. Физкультурная, д. 27</t>
  </si>
  <si>
    <t>№19-ПД/2017 от 24.10.2016</t>
  </si>
  <si>
    <t>г. Анива, ул. Невельского, д. 24</t>
  </si>
  <si>
    <t>с. Троицкое, ул. Гвардейская, д. 6</t>
  </si>
  <si>
    <t>с. Троицкое, ул. Центральная, д. 30</t>
  </si>
  <si>
    <t>г. Анива, ул. Дьяконова, д. 15</t>
  </si>
  <si>
    <t>№20-ПД/2017 от 28.10.2016</t>
  </si>
  <si>
    <t>Южно-Курильск, кв-л Рыбников, д.11</t>
  </si>
  <si>
    <t>Южно-Курильск, кв-л Рыбников, д.15</t>
  </si>
  <si>
    <t>Южно-Курильск, кв-л Рыбников, д.19</t>
  </si>
  <si>
    <t>Южно-Курильск, кв-л Рыбников, д.20</t>
  </si>
  <si>
    <t>Южно-Курильск, ул. 60 лет ВЛКСМ, д. 1, лит. А</t>
  </si>
  <si>
    <t>с. Крабозаводское, ул. Нагорная, д. 6</t>
  </si>
  <si>
    <t>с. Малокурильское, ул. Черемушки, д. 13</t>
  </si>
  <si>
    <t>с. Малокурильское, ул. Черемушки, д. 8</t>
  </si>
  <si>
    <t>№9-ПД/2017 от 02.11.2016</t>
  </si>
  <si>
    <t>с. Углезаводск, ул. Победы, д. 8</t>
  </si>
  <si>
    <t>с. Покровка, ул. Новая, д. 12</t>
  </si>
  <si>
    <t>с. Взморье, пер. Горный, д. 2</t>
  </si>
  <si>
    <t>с. Быков, ул. Шахтерская, д. 8</t>
  </si>
  <si>
    <t>с. Быков, ул. Торговая, д. 5</t>
  </si>
  <si>
    <t>г. Долинск, ул. Ленина, д. 25</t>
  </si>
  <si>
    <t>г. Долинск, ул. Победы, д. 17</t>
  </si>
  <si>
    <t>№6-ПД/2017 от 28.10.2016</t>
  </si>
  <si>
    <t>пгт. Тымовское, ул. Библионтечная, д. 12</t>
  </si>
  <si>
    <t>пгт. Тымовское, ул. Библионтечная, д. 16</t>
  </si>
  <si>
    <t>пгт. Тымовское, ул. Кировская, д. 102</t>
  </si>
  <si>
    <t>пгт. Тымовское, ул. Кировская, д. 47</t>
  </si>
  <si>
    <t>пгт. Тымовское, ул. Криворучко, д. 36</t>
  </si>
  <si>
    <t>пгт. Тымовское, ул. Октябрьская, д. 83</t>
  </si>
  <si>
    <t>пгт. Тымовское, ул. Первомайская, д. 2</t>
  </si>
  <si>
    <t>пгт. Тымовское, ул. Первомайская, д. 4</t>
  </si>
  <si>
    <t>№4-ПД/2017 от 24.10.2016</t>
  </si>
  <si>
    <t>г. Александровск-Сахалинский, ул. Герцена, д. 2, лит. А</t>
  </si>
  <si>
    <t>г. Александровск-Сахалинский, ул. Дзержинского, д. 12</t>
  </si>
  <si>
    <t>г. Александровск-Сахалинский, ул. Ленина, д. 10</t>
  </si>
  <si>
    <t>г. Александровск-Сахалинский, ул. Ленина, д. 14, лит. А</t>
  </si>
  <si>
    <t>г. Александровск-Сахалинский, ул. Ново-Октябрьская, д. 5</t>
  </si>
  <si>
    <t>г. Александровск-Сахалинский, ул. Советская, д. 18</t>
  </si>
  <si>
    <t>с. Мгачи, ул. Первомайская, д. 32</t>
  </si>
  <si>
    <t>с. Мгачи, ул. Советская, д. 1</t>
  </si>
  <si>
    <t>№21-ПД/2017 от  24.10.2016</t>
  </si>
  <si>
    <t>29.12.20156</t>
  </si>
  <si>
    <t>№16-ПД/2017 от 24.10.2016</t>
  </si>
  <si>
    <t>№63-ПД-2016 от 10.03.2016</t>
  </si>
  <si>
    <t>ООО "Империя Строительства"</t>
  </si>
  <si>
    <t>№63-ПД/2016 от 10.03.2016</t>
  </si>
  <si>
    <t>№63-ПД/2016 от 03.10.2016</t>
  </si>
  <si>
    <t>ООО "Компания Строительства"</t>
  </si>
  <si>
    <t>исключить</t>
  </si>
  <si>
    <t>№ 242-СМР/2016 от 27.09.2016</t>
  </si>
  <si>
    <t>Сведения о выполнении работ (услуг) по капитальному ремонту  в рамках реализации краткосрочного плана реализации  региональной программы
 капитального ремонта общего имущества в многоквартирных домах на  30.11.2016г.</t>
  </si>
  <si>
    <t>№236-СМР/2016 от 21.09.2016</t>
  </si>
  <si>
    <t>№166-СМР/2016 от 05.08.2016</t>
  </si>
  <si>
    <t>20.12.206</t>
  </si>
  <si>
    <t>21.12.206</t>
  </si>
  <si>
    <t xml:space="preserve">г. Южно-Сахалинск, ул. Емельянова А.О., д. 33 </t>
  </si>
  <si>
    <t>г. Южно-Сахалинск, ул. Сахалинская, д. 21</t>
  </si>
  <si>
    <t>27..01.2017</t>
  </si>
  <si>
    <t>09,01.2017</t>
  </si>
  <si>
    <t>09,01.2018</t>
  </si>
  <si>
    <t>09,01.2019</t>
  </si>
  <si>
    <t>09,01.2020</t>
  </si>
  <si>
    <t>09,01.2021</t>
  </si>
  <si>
    <t>09,01.2022</t>
  </si>
  <si>
    <t>09,01.2023</t>
  </si>
  <si>
    <t>09,01.2024</t>
  </si>
  <si>
    <t>09,01.2025</t>
  </si>
  <si>
    <t>09,01.2026</t>
  </si>
  <si>
    <t>09,01.2027</t>
  </si>
  <si>
    <t>Сведения о выполнении работ (услуг) по капитальному ремонту  в рамках реализации краткосрочного плана реализации  региональной программы
 капитального ремонта общего имущества в многоквартирных домах на  13.02.2017г.</t>
  </si>
  <si>
    <t>Плановая стоимость работы (услуги) по краткосрочному плану, утв. Пост. ПСО от 19.12.2016 № 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</si>
</sst>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/mm/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1195">
    <xf numFmtId="0" fontId="0" fillId="0" borderId="0" xfId="0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2" fillId="8" borderId="0" xfId="0" applyNumberFormat="1" applyFont="1" applyFill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3" borderId="34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4" fontId="2" fillId="8" borderId="0" xfId="0" applyNumberFormat="1" applyFont="1" applyFill="1" applyBorder="1" applyAlignment="1">
      <alignment horizontal="center" vertical="center" wrapText="1"/>
    </xf>
    <xf numFmtId="9" fontId="2" fillId="8" borderId="7" xfId="0" applyNumberFormat="1" applyFont="1" applyFill="1" applyBorder="1" applyAlignment="1">
      <alignment horizontal="center" vertical="center" wrapText="1"/>
    </xf>
    <xf numFmtId="4" fontId="3" fillId="8" borderId="0" xfId="0" applyNumberFormat="1" applyFont="1" applyFill="1" applyBorder="1" applyAlignment="1">
      <alignment horizontal="center" vertical="center" wrapText="1"/>
    </xf>
    <xf numFmtId="9" fontId="2" fillId="8" borderId="5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4" fontId="3" fillId="8" borderId="0" xfId="0" applyNumberFormat="1" applyFont="1" applyFill="1" applyAlignment="1">
      <alignment horizontal="center" vertical="center" wrapText="1"/>
    </xf>
    <xf numFmtId="9" fontId="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4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>
      <alignment horizontal="center" vertical="center" wrapText="1"/>
    </xf>
    <xf numFmtId="4" fontId="7" fillId="2" borderId="38" xfId="0" applyNumberFormat="1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3" fillId="4" borderId="47" xfId="0" applyNumberFormat="1" applyFont="1" applyFill="1" applyBorder="1" applyAlignment="1">
      <alignment horizontal="center" vertical="center" wrapText="1"/>
    </xf>
    <xf numFmtId="0" fontId="2" fillId="4" borderId="35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14" fontId="3" fillId="4" borderId="3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3" fillId="0" borderId="29" xfId="0" applyNumberFormat="1" applyFont="1" applyBorder="1" applyAlignment="1">
      <alignment vertical="center" wrapText="1"/>
    </xf>
    <xf numFmtId="14" fontId="3" fillId="3" borderId="25" xfId="0" applyNumberFormat="1" applyFont="1" applyFill="1" applyBorder="1" applyAlignment="1">
      <alignment horizontal="center" vertical="center" wrapText="1"/>
    </xf>
    <xf numFmtId="14" fontId="7" fillId="2" borderId="27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7" fillId="2" borderId="27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9" fontId="2" fillId="0" borderId="27" xfId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3" borderId="4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9" fontId="3" fillId="4" borderId="5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29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4" fontId="11" fillId="3" borderId="34" xfId="0" applyNumberFormat="1" applyFont="1" applyFill="1" applyBorder="1" applyAlignment="1">
      <alignment horizontal="center" vertical="center" wrapText="1"/>
    </xf>
    <xf numFmtId="0" fontId="11" fillId="3" borderId="25" xfId="0" applyNumberFormat="1" applyFont="1" applyFill="1" applyBorder="1" applyAlignment="1">
      <alignment horizontal="center" vertical="center" wrapText="1"/>
    </xf>
    <xf numFmtId="14" fontId="11" fillId="3" borderId="25" xfId="0" applyNumberFormat="1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vertical="center" wrapText="1"/>
    </xf>
    <xf numFmtId="4" fontId="11" fillId="4" borderId="25" xfId="0" applyNumberFormat="1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4" fontId="11" fillId="4" borderId="34" xfId="0" applyNumberFormat="1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 wrapText="1"/>
    </xf>
    <xf numFmtId="0" fontId="12" fillId="4" borderId="25" xfId="0" applyNumberFormat="1" applyFont="1" applyFill="1" applyBorder="1" applyAlignment="1">
      <alignment vertical="center" wrapText="1"/>
    </xf>
    <xf numFmtId="14" fontId="11" fillId="4" borderId="25" xfId="0" applyNumberFormat="1" applyFont="1" applyFill="1" applyBorder="1" applyAlignment="1">
      <alignment horizontal="center" vertical="center" wrapText="1"/>
    </xf>
    <xf numFmtId="9" fontId="11" fillId="4" borderId="48" xfId="0" applyNumberFormat="1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4" fontId="14" fillId="8" borderId="4" xfId="0" applyNumberFormat="1" applyFont="1" applyFill="1" applyBorder="1" applyAlignment="1">
      <alignment horizontal="center" vertical="center" wrapText="1"/>
    </xf>
    <xf numFmtId="4" fontId="14" fillId="8" borderId="19" xfId="0" applyNumberFormat="1" applyFont="1" applyFill="1" applyBorder="1" applyAlignment="1">
      <alignment horizontal="center" vertical="center" wrapText="1"/>
    </xf>
    <xf numFmtId="14" fontId="12" fillId="8" borderId="4" xfId="0" applyNumberFormat="1" applyFont="1" applyFill="1" applyBorder="1" applyAlignment="1">
      <alignment horizontal="center" vertical="center" wrapText="1"/>
    </xf>
    <xf numFmtId="4" fontId="12" fillId="8" borderId="4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9" fontId="12" fillId="5" borderId="4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9" fontId="12" fillId="5" borderId="1" xfId="0" applyNumberFormat="1" applyFont="1" applyFill="1" applyBorder="1" applyAlignment="1">
      <alignment horizontal="center" vertical="center" wrapText="1"/>
    </xf>
    <xf numFmtId="4" fontId="14" fillId="0" borderId="53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9" fontId="12" fillId="5" borderId="22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9" fontId="12" fillId="6" borderId="0" xfId="0" applyNumberFormat="1" applyFont="1" applyFill="1" applyBorder="1" applyAlignment="1">
      <alignment horizontal="center" vertical="center" wrapText="1"/>
    </xf>
    <xf numFmtId="4" fontId="14" fillId="6" borderId="53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14" fontId="11" fillId="8" borderId="4" xfId="0" applyNumberFormat="1" applyFont="1" applyFill="1" applyBorder="1" applyAlignment="1">
      <alignment horizontal="center" vertical="center" wrapText="1"/>
    </xf>
    <xf numFmtId="4" fontId="11" fillId="8" borderId="4" xfId="0" applyNumberFormat="1" applyFont="1" applyFill="1" applyBorder="1" applyAlignment="1">
      <alignment horizontal="center" vertical="center" wrapText="1"/>
    </xf>
    <xf numFmtId="9" fontId="12" fillId="8" borderId="4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9" fontId="12" fillId="6" borderId="1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9" fontId="11" fillId="0" borderId="48" xfId="0" applyNumberFormat="1" applyFont="1" applyFill="1" applyBorder="1" applyAlignment="1">
      <alignment horizontal="center" vertical="center" wrapText="1"/>
    </xf>
    <xf numFmtId="14" fontId="12" fillId="8" borderId="27" xfId="0" applyNumberFormat="1" applyFont="1" applyFill="1" applyBorder="1" applyAlignment="1">
      <alignment horizontal="center" vertical="center" wrapText="1"/>
    </xf>
    <xf numFmtId="9" fontId="12" fillId="8" borderId="0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4" fontId="14" fillId="8" borderId="2" xfId="0" applyNumberFormat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9" fontId="12" fillId="8" borderId="16" xfId="0" applyNumberFormat="1" applyFont="1" applyFill="1" applyBorder="1" applyAlignment="1">
      <alignment horizontal="center" vertical="center" wrapText="1"/>
    </xf>
    <xf numFmtId="14" fontId="12" fillId="8" borderId="22" xfId="0" applyNumberFormat="1" applyFont="1" applyFill="1" applyBorder="1" applyAlignment="1">
      <alignment horizontal="center" vertical="center" wrapText="1"/>
    </xf>
    <xf numFmtId="9" fontId="12" fillId="8" borderId="1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9" fontId="12" fillId="5" borderId="0" xfId="0" applyNumberFormat="1" applyFont="1" applyFill="1" applyBorder="1" applyAlignment="1">
      <alignment horizontal="center" vertical="center" wrapText="1"/>
    </xf>
    <xf numFmtId="9" fontId="12" fillId="5" borderId="16" xfId="0" applyNumberFormat="1" applyFont="1" applyFill="1" applyBorder="1" applyAlignment="1">
      <alignment horizontal="center" vertical="center" wrapText="1"/>
    </xf>
    <xf numFmtId="4" fontId="14" fillId="6" borderId="2" xfId="4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9" fontId="12" fillId="8" borderId="50" xfId="0" applyNumberFormat="1" applyFont="1" applyFill="1" applyBorder="1" applyAlignment="1">
      <alignment horizontal="center" vertical="center" wrapText="1"/>
    </xf>
    <xf numFmtId="4" fontId="14" fillId="8" borderId="36" xfId="0" applyNumberFormat="1" applyFont="1" applyFill="1" applyBorder="1" applyAlignment="1">
      <alignment horizontal="center" vertical="center" wrapText="1"/>
    </xf>
    <xf numFmtId="1" fontId="11" fillId="8" borderId="12" xfId="0" applyNumberFormat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9" fontId="12" fillId="6" borderId="16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" fontId="14" fillId="0" borderId="55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" fontId="14" fillId="0" borderId="56" xfId="0" applyNumberFormat="1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 wrapText="1"/>
    </xf>
    <xf numFmtId="9" fontId="12" fillId="8" borderId="5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9" fontId="12" fillId="8" borderId="7" xfId="0" applyNumberFormat="1" applyFont="1" applyFill="1" applyBorder="1" applyAlignment="1">
      <alignment horizontal="center" vertical="center" wrapText="1"/>
    </xf>
    <xf numFmtId="14" fontId="12" fillId="8" borderId="23" xfId="0" applyNumberFormat="1" applyFont="1" applyFill="1" applyBorder="1" applyAlignment="1">
      <alignment horizontal="center" vertical="center" wrapText="1"/>
    </xf>
    <xf numFmtId="4" fontId="14" fillId="8" borderId="9" xfId="0" applyNumberFormat="1" applyFont="1" applyFill="1" applyBorder="1" applyAlignment="1">
      <alignment horizontal="center" vertical="center" wrapText="1"/>
    </xf>
    <xf numFmtId="4" fontId="14" fillId="8" borderId="23" xfId="0" applyNumberFormat="1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4" fontId="14" fillId="8" borderId="9" xfId="4" applyNumberFormat="1" applyFont="1" applyFill="1" applyBorder="1" applyAlignment="1">
      <alignment horizontal="center" vertical="center" wrapText="1"/>
    </xf>
    <xf numFmtId="14" fontId="12" fillId="8" borderId="9" xfId="0" applyNumberFormat="1" applyFont="1" applyFill="1" applyBorder="1" applyAlignment="1">
      <alignment horizontal="center" vertical="center" wrapText="1"/>
    </xf>
    <xf numFmtId="4" fontId="12" fillId="8" borderId="9" xfId="0" applyNumberFormat="1" applyFont="1" applyFill="1" applyBorder="1" applyAlignment="1">
      <alignment horizontal="center" vertical="center" wrapText="1"/>
    </xf>
    <xf numFmtId="9" fontId="12" fillId="8" borderId="10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14" fontId="13" fillId="0" borderId="35" xfId="0" applyNumberFormat="1" applyFont="1" applyFill="1" applyBorder="1" applyAlignment="1">
      <alignment horizontal="center" vertical="center" wrapText="1"/>
    </xf>
    <xf numFmtId="9" fontId="11" fillId="0" borderId="54" xfId="0" applyNumberFormat="1" applyFont="1" applyFill="1" applyBorder="1" applyAlignment="1">
      <alignment horizontal="center" vertical="center" wrapText="1"/>
    </xf>
    <xf numFmtId="4" fontId="14" fillId="8" borderId="22" xfId="0" applyNumberFormat="1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4" fontId="14" fillId="8" borderId="40" xfId="0" applyNumberFormat="1" applyFont="1" applyFill="1" applyBorder="1" applyAlignment="1">
      <alignment horizontal="center" vertical="center" wrapText="1"/>
    </xf>
    <xf numFmtId="4" fontId="12" fillId="8" borderId="22" xfId="0" applyNumberFormat="1" applyFont="1" applyFill="1" applyBorder="1" applyAlignment="1">
      <alignment horizontal="center" vertical="center" wrapText="1"/>
    </xf>
    <xf numFmtId="4" fontId="11" fillId="8" borderId="22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6" borderId="5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9" fontId="12" fillId="0" borderId="50" xfId="0" applyNumberFormat="1" applyFont="1" applyFill="1" applyBorder="1" applyAlignment="1">
      <alignment horizontal="center" vertical="center" wrapText="1"/>
    </xf>
    <xf numFmtId="14" fontId="14" fillId="8" borderId="19" xfId="0" applyNumberFormat="1" applyFont="1" applyFill="1" applyBorder="1" applyAlignment="1">
      <alignment horizontal="center" vertical="center" wrapText="1"/>
    </xf>
    <xf numFmtId="14" fontId="14" fillId="8" borderId="2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9" fontId="12" fillId="8" borderId="15" xfId="0" applyNumberFormat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9" fontId="12" fillId="8" borderId="5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2" fillId="0" borderId="53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4" fontId="14" fillId="6" borderId="30" xfId="0" applyNumberFormat="1" applyFont="1" applyFill="1" applyBorder="1" applyAlignment="1">
      <alignment horizontal="center" vertical="center" wrapText="1"/>
    </xf>
    <xf numFmtId="4" fontId="13" fillId="0" borderId="43" xfId="4" applyNumberFormat="1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4" fontId="14" fillId="6" borderId="42" xfId="0" applyNumberFormat="1" applyFont="1" applyFill="1" applyBorder="1" applyAlignment="1">
      <alignment horizontal="center" vertical="center" wrapText="1"/>
    </xf>
    <xf numFmtId="4" fontId="14" fillId="8" borderId="4" xfId="4" applyNumberFormat="1" applyFont="1" applyFill="1" applyBorder="1" applyAlignment="1">
      <alignment horizontal="center" vertical="center" wrapText="1"/>
    </xf>
    <xf numFmtId="4" fontId="14" fillId="8" borderId="16" xfId="0" applyNumberFormat="1" applyFont="1" applyFill="1" applyBorder="1" applyAlignment="1">
      <alignment horizontal="center" vertical="center" wrapText="1"/>
    </xf>
    <xf numFmtId="4" fontId="14" fillId="8" borderId="43" xfId="4" applyNumberFormat="1" applyFont="1" applyFill="1" applyBorder="1" applyAlignment="1">
      <alignment horizontal="center" vertical="center" wrapText="1"/>
    </xf>
    <xf numFmtId="4" fontId="12" fillId="8" borderId="16" xfId="0" applyNumberFormat="1" applyFont="1" applyFill="1" applyBorder="1" applyAlignment="1">
      <alignment horizontal="center" vertical="center" wrapText="1"/>
    </xf>
    <xf numFmtId="9" fontId="12" fillId="8" borderId="17" xfId="0" applyNumberFormat="1" applyFont="1" applyFill="1" applyBorder="1" applyAlignment="1">
      <alignment horizontal="center" vertical="center" wrapText="1"/>
    </xf>
    <xf numFmtId="9" fontId="12" fillId="6" borderId="7" xfId="0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9" fontId="12" fillId="5" borderId="50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" fontId="13" fillId="2" borderId="27" xfId="0" applyNumberFormat="1" applyFont="1" applyFill="1" applyBorder="1" applyAlignment="1">
      <alignment horizontal="center" vertical="center" wrapText="1"/>
    </xf>
    <xf numFmtId="9" fontId="12" fillId="0" borderId="27" xfId="1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horizontal="center" vertical="center" wrapText="1"/>
    </xf>
    <xf numFmtId="4" fontId="13" fillId="2" borderId="38" xfId="0" applyNumberFormat="1" applyFont="1" applyFill="1" applyBorder="1" applyAlignment="1">
      <alignment horizontal="center" vertical="center" wrapText="1"/>
    </xf>
    <xf numFmtId="14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14" fontId="13" fillId="2" borderId="27" xfId="0" applyNumberFormat="1" applyFont="1" applyFill="1" applyBorder="1" applyAlignment="1">
      <alignment horizontal="center" vertical="center" wrapText="1"/>
    </xf>
    <xf numFmtId="9" fontId="13" fillId="2" borderId="15" xfId="0" applyNumberFormat="1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4" fontId="13" fillId="4" borderId="47" xfId="0" applyNumberFormat="1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5" xfId="0" applyNumberFormat="1" applyFont="1" applyFill="1" applyBorder="1" applyAlignment="1">
      <alignment horizontal="center" vertical="center" wrapText="1"/>
    </xf>
    <xf numFmtId="14" fontId="13" fillId="4" borderId="35" xfId="0" applyNumberFormat="1" applyFont="1" applyFill="1" applyBorder="1" applyAlignment="1">
      <alignment horizontal="center" vertical="center" wrapText="1"/>
    </xf>
    <xf numFmtId="4" fontId="13" fillId="4" borderId="35" xfId="0" applyNumberFormat="1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1" fontId="11" fillId="0" borderId="31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4" fontId="12" fillId="8" borderId="19" xfId="0" applyNumberFormat="1" applyFont="1" applyFill="1" applyBorder="1" applyAlignment="1">
      <alignment horizontal="center" vertical="center" wrapText="1"/>
    </xf>
    <xf numFmtId="4" fontId="12" fillId="8" borderId="2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4" fontId="14" fillId="3" borderId="53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4" fontId="14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4" fontId="14" fillId="10" borderId="2" xfId="0" applyNumberFormat="1" applyFont="1" applyFill="1" applyBorder="1" applyAlignment="1">
      <alignment horizontal="center"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4" fontId="12" fillId="10" borderId="1" xfId="0" applyNumberFormat="1" applyFont="1" applyFill="1" applyBorder="1" applyAlignment="1">
      <alignment horizontal="center" vertical="center" wrapText="1"/>
    </xf>
    <xf numFmtId="9" fontId="12" fillId="10" borderId="1" xfId="0" applyNumberFormat="1" applyFont="1" applyFill="1" applyBorder="1" applyAlignment="1">
      <alignment horizontal="center" vertical="center" wrapText="1"/>
    </xf>
    <xf numFmtId="4" fontId="14" fillId="10" borderId="5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9" fontId="12" fillId="0" borderId="2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9" fontId="12" fillId="0" borderId="4" xfId="1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9" fontId="13" fillId="2" borderId="4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14" fontId="14" fillId="8" borderId="1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" fontId="13" fillId="8" borderId="9" xfId="0" applyNumberFormat="1" applyFont="1" applyFill="1" applyBorder="1" applyAlignment="1">
      <alignment horizontal="center" vertical="center" wrapText="1"/>
    </xf>
    <xf numFmtId="9" fontId="13" fillId="2" borderId="9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" fontId="11" fillId="4" borderId="47" xfId="0" applyNumberFormat="1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14" fontId="11" fillId="4" borderId="35" xfId="0" applyNumberFormat="1" applyFont="1" applyFill="1" applyBorder="1" applyAlignment="1">
      <alignment horizontal="center" vertical="center" wrapText="1"/>
    </xf>
    <xf numFmtId="4" fontId="11" fillId="4" borderId="35" xfId="0" applyNumberFormat="1" applyFont="1" applyFill="1" applyBorder="1" applyAlignment="1">
      <alignment horizontal="center" vertical="center" wrapText="1"/>
    </xf>
    <xf numFmtId="9" fontId="11" fillId="4" borderId="35" xfId="0" applyNumberFormat="1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14" fontId="12" fillId="8" borderId="16" xfId="0" applyNumberFormat="1" applyFont="1" applyFill="1" applyBorder="1" applyAlignment="1">
      <alignment horizontal="center" vertical="center" wrapText="1"/>
    </xf>
    <xf numFmtId="4" fontId="12" fillId="0" borderId="5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9" fontId="12" fillId="0" borderId="25" xfId="1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center" vertical="center" wrapText="1"/>
    </xf>
    <xf numFmtId="4" fontId="13" fillId="2" borderId="34" xfId="0" applyNumberFormat="1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14" fontId="13" fillId="2" borderId="25" xfId="0" applyNumberFormat="1" applyFont="1" applyFill="1" applyBorder="1" applyAlignment="1">
      <alignment horizontal="center" vertical="center" wrapText="1"/>
    </xf>
    <xf numFmtId="9" fontId="13" fillId="2" borderId="26" xfId="0" applyNumberFormat="1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3" fillId="4" borderId="25" xfId="0" applyNumberFormat="1" applyFont="1" applyFill="1" applyBorder="1" applyAlignment="1">
      <alignment horizontal="center" vertical="center" wrapText="1"/>
    </xf>
    <xf numFmtId="4" fontId="13" fillId="4" borderId="34" xfId="0" applyNumberFormat="1" applyFont="1" applyFill="1" applyBorder="1" applyAlignment="1">
      <alignment horizontal="center" vertical="center" wrapText="1"/>
    </xf>
    <xf numFmtId="0" fontId="12" fillId="4" borderId="25" xfId="0" applyNumberFormat="1" applyFont="1" applyFill="1" applyBorder="1" applyAlignment="1">
      <alignment horizontal="center" vertical="center" wrapText="1"/>
    </xf>
    <xf numFmtId="14" fontId="13" fillId="4" borderId="25" xfId="0" applyNumberFormat="1" applyFont="1" applyFill="1" applyBorder="1" applyAlignment="1">
      <alignment horizontal="center" vertical="center" wrapText="1"/>
    </xf>
    <xf numFmtId="9" fontId="13" fillId="4" borderId="25" xfId="0" applyNumberFormat="1" applyFont="1" applyFill="1" applyBorder="1" applyAlignment="1">
      <alignment horizontal="center" vertical="center" wrapText="1"/>
    </xf>
    <xf numFmtId="4" fontId="13" fillId="4" borderId="49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55" xfId="0" applyNumberFormat="1" applyFont="1" applyBorder="1" applyAlignment="1">
      <alignment horizontal="center" vertical="center" wrapText="1"/>
    </xf>
    <xf numFmtId="4" fontId="12" fillId="8" borderId="36" xfId="0" applyNumberFormat="1" applyFont="1" applyFill="1" applyBorder="1" applyAlignment="1">
      <alignment horizontal="center" vertical="center" wrapText="1"/>
    </xf>
    <xf numFmtId="1" fontId="11" fillId="8" borderId="6" xfId="0" applyNumberFormat="1" applyFont="1" applyFill="1" applyBorder="1" applyAlignment="1">
      <alignment horizontal="center" vertical="center" wrapText="1"/>
    </xf>
    <xf numFmtId="14" fontId="15" fillId="8" borderId="7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4" fontId="14" fillId="3" borderId="22" xfId="0" applyNumberFormat="1" applyFont="1" applyFill="1" applyBorder="1" applyAlignment="1">
      <alignment horizontal="center" vertical="center" wrapText="1"/>
    </xf>
    <xf numFmtId="4" fontId="14" fillId="3" borderId="40" xfId="0" applyNumberFormat="1" applyFont="1" applyFill="1" applyBorder="1" applyAlignment="1">
      <alignment horizontal="center" vertical="center" wrapText="1"/>
    </xf>
    <xf numFmtId="14" fontId="14" fillId="3" borderId="22" xfId="0" applyNumberFormat="1" applyFont="1" applyFill="1" applyBorder="1" applyAlignment="1">
      <alignment horizontal="center" vertical="center" wrapText="1"/>
    </xf>
    <xf numFmtId="9" fontId="14" fillId="3" borderId="22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9" fontId="13" fillId="0" borderId="9" xfId="0" applyNumberFormat="1" applyFont="1" applyFill="1" applyBorder="1" applyAlignment="1">
      <alignment horizontal="center" vertical="center" wrapText="1"/>
    </xf>
    <xf numFmtId="4" fontId="12" fillId="0" borderId="55" xfId="0" applyNumberFormat="1" applyFont="1" applyFill="1" applyBorder="1" applyAlignment="1">
      <alignment horizontal="center" vertical="center" wrapText="1"/>
    </xf>
    <xf numFmtId="0" fontId="12" fillId="8" borderId="4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 wrapText="1"/>
    </xf>
    <xf numFmtId="4" fontId="12" fillId="4" borderId="35" xfId="0" applyNumberFormat="1" applyFont="1" applyFill="1" applyBorder="1" applyAlignment="1">
      <alignment horizontal="center" vertical="center" wrapText="1"/>
    </xf>
    <xf numFmtId="4" fontId="12" fillId="4" borderId="48" xfId="0" applyNumberFormat="1" applyFont="1" applyFill="1" applyBorder="1" applyAlignment="1">
      <alignment horizontal="center" vertical="center" wrapText="1"/>
    </xf>
    <xf numFmtId="4" fontId="14" fillId="8" borderId="22" xfId="2" applyNumberFormat="1" applyFont="1" applyFill="1" applyBorder="1" applyAlignment="1">
      <alignment horizontal="center" vertical="center" wrapText="1"/>
    </xf>
    <xf numFmtId="4" fontId="12" fillId="8" borderId="40" xfId="0" applyNumberFormat="1" applyFont="1" applyFill="1" applyBorder="1" applyAlignment="1">
      <alignment horizontal="center" vertical="center" wrapText="1"/>
    </xf>
    <xf numFmtId="4" fontId="12" fillId="8" borderId="27" xfId="0" applyNumberFormat="1" applyFont="1" applyFill="1" applyBorder="1" applyAlignment="1">
      <alignment horizontal="center" vertical="center" wrapText="1"/>
    </xf>
    <xf numFmtId="9" fontId="12" fillId="8" borderId="22" xfId="0" applyNumberFormat="1" applyFont="1" applyFill="1" applyBorder="1" applyAlignment="1">
      <alignment horizontal="center" vertical="center" wrapText="1"/>
    </xf>
    <xf numFmtId="4" fontId="12" fillId="8" borderId="37" xfId="0" applyNumberFormat="1" applyFont="1" applyFill="1" applyBorder="1" applyAlignment="1">
      <alignment horizontal="center" vertical="center" wrapText="1"/>
    </xf>
    <xf numFmtId="4" fontId="14" fillId="8" borderId="1" xfId="2" applyNumberFormat="1" applyFont="1" applyFill="1" applyBorder="1" applyAlignment="1">
      <alignment horizontal="center" vertical="center" wrapText="1"/>
    </xf>
    <xf numFmtId="4" fontId="12" fillId="8" borderId="53" xfId="0" applyNumberFormat="1" applyFont="1" applyFill="1" applyBorder="1" applyAlignment="1">
      <alignment horizontal="center" vertical="center" wrapText="1"/>
    </xf>
    <xf numFmtId="4" fontId="14" fillId="8" borderId="2" xfId="2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" fontId="11" fillId="0" borderId="55" xfId="0" applyNumberFormat="1" applyFont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4" fontId="12" fillId="8" borderId="23" xfId="0" applyNumberFormat="1" applyFont="1" applyFill="1" applyBorder="1" applyAlignment="1">
      <alignment horizontal="center" vertical="center" wrapText="1"/>
    </xf>
    <xf numFmtId="4" fontId="14" fillId="8" borderId="4" xfId="2" applyNumberFormat="1" applyFont="1" applyFill="1" applyBorder="1" applyAlignment="1">
      <alignment horizontal="center" vertical="center" wrapText="1"/>
    </xf>
    <xf numFmtId="4" fontId="12" fillId="5" borderId="36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4" fontId="14" fillId="8" borderId="4" xfId="0" applyNumberFormat="1" applyFont="1" applyFill="1" applyBorder="1" applyAlignment="1">
      <alignment horizontal="center" vertical="center" wrapText="1"/>
    </xf>
    <xf numFmtId="9" fontId="14" fillId="8" borderId="4" xfId="0" applyNumberFormat="1" applyFont="1" applyFill="1" applyBorder="1" applyAlignment="1">
      <alignment horizontal="center" vertical="center" wrapText="1"/>
    </xf>
    <xf numFmtId="9" fontId="14" fillId="8" borderId="1" xfId="0" applyNumberFormat="1" applyFont="1" applyFill="1" applyBorder="1" applyAlignment="1">
      <alignment horizontal="center" vertical="center" wrapText="1"/>
    </xf>
    <xf numFmtId="4" fontId="14" fillId="8" borderId="53" xfId="0" applyNumberFormat="1" applyFont="1" applyFill="1" applyBorder="1" applyAlignment="1">
      <alignment horizontal="center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4" fontId="12" fillId="8" borderId="38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12" fillId="6" borderId="0" xfId="0" applyNumberFormat="1" applyFont="1" applyFill="1" applyAlignment="1">
      <alignment horizontal="center" vertical="center" wrapText="1"/>
    </xf>
    <xf numFmtId="4" fontId="12" fillId="9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9" fontId="12" fillId="9" borderId="1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2" fillId="8" borderId="0" xfId="0" applyNumberFormat="1" applyFont="1" applyFill="1" applyAlignment="1">
      <alignment horizontal="center" vertical="center" wrapText="1"/>
    </xf>
    <xf numFmtId="4" fontId="12" fillId="0" borderId="37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4" fontId="12" fillId="6" borderId="53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4" fontId="12" fillId="4" borderId="35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2" fillId="8" borderId="53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vertical="center" wrapText="1"/>
    </xf>
    <xf numFmtId="4" fontId="12" fillId="8" borderId="5" xfId="0" applyNumberFormat="1" applyFont="1" applyFill="1" applyBorder="1" applyAlignment="1">
      <alignment horizontal="center" vertical="center" wrapText="1"/>
    </xf>
    <xf numFmtId="9" fontId="12" fillId="8" borderId="2" xfId="0" applyNumberFormat="1" applyFont="1" applyFill="1" applyBorder="1" applyAlignment="1">
      <alignment horizontal="center" vertical="center" wrapText="1"/>
    </xf>
    <xf numFmtId="4" fontId="12" fillId="8" borderId="7" xfId="0" applyNumberFormat="1" applyFont="1" applyFill="1" applyBorder="1" applyAlignment="1">
      <alignment horizontal="center" vertical="center" wrapText="1"/>
    </xf>
    <xf numFmtId="14" fontId="15" fillId="8" borderId="1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9" fontId="12" fillId="3" borderId="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9" fontId="11" fillId="0" borderId="20" xfId="0" applyNumberFormat="1" applyFont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4" fontId="12" fillId="8" borderId="39" xfId="0" applyNumberFormat="1" applyFont="1" applyFill="1" applyBorder="1" applyAlignment="1">
      <alignment horizontal="center" vertical="center" wrapText="1"/>
    </xf>
    <xf numFmtId="4" fontId="11" fillId="8" borderId="23" xfId="0" applyNumberFormat="1" applyFont="1" applyFill="1" applyBorder="1" applyAlignment="1">
      <alignment horizontal="center" vertical="center" wrapText="1"/>
    </xf>
    <xf numFmtId="9" fontId="11" fillId="8" borderId="23" xfId="0" applyNumberFormat="1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 wrapText="1"/>
    </xf>
    <xf numFmtId="9" fontId="13" fillId="2" borderId="50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4" fontId="14" fillId="2" borderId="22" xfId="0" applyNumberFormat="1" applyFont="1" applyFill="1" applyBorder="1" applyAlignment="1">
      <alignment horizontal="center" vertical="center" wrapText="1"/>
    </xf>
    <xf numFmtId="4" fontId="13" fillId="2" borderId="23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4" fontId="13" fillId="2" borderId="16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3" fillId="2" borderId="2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" fontId="13" fillId="2" borderId="59" xfId="0" applyNumberFormat="1" applyFont="1" applyFill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9" fontId="13" fillId="2" borderId="39" xfId="0" applyNumberFormat="1" applyFont="1" applyFill="1" applyBorder="1" applyAlignment="1">
      <alignment horizontal="center" vertical="center" wrapText="1"/>
    </xf>
    <xf numFmtId="9" fontId="11" fillId="4" borderId="25" xfId="0" applyNumberFormat="1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4" fontId="12" fillId="6" borderId="22" xfId="0" applyNumberFormat="1" applyFont="1" applyFill="1" applyBorder="1" applyAlignment="1">
      <alignment horizontal="center" vertical="center" wrapText="1"/>
    </xf>
    <xf numFmtId="4" fontId="12" fillId="6" borderId="40" xfId="0" applyNumberFormat="1" applyFont="1" applyFill="1" applyBorder="1" applyAlignment="1">
      <alignment horizontal="center" vertical="center" wrapText="1"/>
    </xf>
    <xf numFmtId="14" fontId="12" fillId="6" borderId="22" xfId="0" applyNumberFormat="1" applyFont="1" applyFill="1" applyBorder="1" applyAlignment="1">
      <alignment horizontal="center" vertical="center" wrapText="1"/>
    </xf>
    <xf numFmtId="9" fontId="12" fillId="6" borderId="22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4" fontId="12" fillId="7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4" fontId="12" fillId="7" borderId="19" xfId="0" applyNumberFormat="1" applyFont="1" applyFill="1" applyBorder="1" applyAlignment="1">
      <alignment horizontal="center" vertical="center" wrapText="1"/>
    </xf>
    <xf numFmtId="0" fontId="11" fillId="7" borderId="4" xfId="0" applyNumberFormat="1" applyFont="1" applyFill="1" applyBorder="1" applyAlignment="1">
      <alignment horizontal="center" vertical="center" wrapText="1"/>
    </xf>
    <xf numFmtId="4" fontId="11" fillId="7" borderId="4" xfId="0" applyNumberFormat="1" applyFont="1" applyFill="1" applyBorder="1" applyAlignment="1">
      <alignment horizontal="center" vertical="center" wrapText="1"/>
    </xf>
    <xf numFmtId="14" fontId="11" fillId="7" borderId="4" xfId="0" applyNumberFormat="1" applyFont="1" applyFill="1" applyBorder="1" applyAlignment="1">
      <alignment horizontal="center" vertical="center" wrapText="1"/>
    </xf>
    <xf numFmtId="9" fontId="12" fillId="7" borderId="4" xfId="0" applyNumberFormat="1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9" fontId="11" fillId="8" borderId="5" xfId="0" applyNumberFormat="1" applyFont="1" applyFill="1" applyBorder="1" applyAlignment="1">
      <alignment horizontal="center" vertical="center" wrapText="1"/>
    </xf>
    <xf numFmtId="4" fontId="12" fillId="8" borderId="43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wrapText="1"/>
    </xf>
    <xf numFmtId="0" fontId="11" fillId="0" borderId="16" xfId="0" applyFont="1" applyBorder="1" applyAlignment="1">
      <alignment horizontal="left" vertical="center" wrapText="1"/>
    </xf>
    <xf numFmtId="9" fontId="13" fillId="2" borderId="16" xfId="0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4" fontId="13" fillId="8" borderId="23" xfId="0" applyNumberFormat="1" applyFont="1" applyFill="1" applyBorder="1" applyAlignment="1">
      <alignment horizontal="center" vertical="center" wrapText="1"/>
    </xf>
    <xf numFmtId="9" fontId="13" fillId="2" borderId="59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4" fontId="11" fillId="4" borderId="23" xfId="0" applyNumberFormat="1" applyFont="1" applyFill="1" applyBorder="1" applyAlignment="1">
      <alignment horizontal="center" vertical="center" wrapText="1"/>
    </xf>
    <xf numFmtId="4" fontId="11" fillId="4" borderId="39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14" fontId="11" fillId="4" borderId="23" xfId="0" applyNumberFormat="1" applyFont="1" applyFill="1" applyBorder="1" applyAlignment="1">
      <alignment horizontal="center" vertical="center" wrapText="1"/>
    </xf>
    <xf numFmtId="9" fontId="11" fillId="4" borderId="23" xfId="0" applyNumberFormat="1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14" fontId="12" fillId="8" borderId="0" xfId="0" applyNumberFormat="1" applyFont="1" applyFill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/>
    </xf>
    <xf numFmtId="14" fontId="12" fillId="8" borderId="7" xfId="0" applyNumberFormat="1" applyFont="1" applyFill="1" applyBorder="1" applyAlignment="1">
      <alignment horizontal="center" vertical="center" wrapText="1"/>
    </xf>
    <xf numFmtId="14" fontId="11" fillId="8" borderId="0" xfId="0" applyNumberFormat="1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14" fontId="12" fillId="8" borderId="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4" fontId="12" fillId="8" borderId="0" xfId="0" applyNumberFormat="1" applyFont="1" applyFill="1" applyBorder="1" applyAlignment="1">
      <alignment horizontal="center" vertical="center" wrapText="1"/>
    </xf>
    <xf numFmtId="9" fontId="12" fillId="8" borderId="23" xfId="0" applyNumberFormat="1" applyFont="1" applyFill="1" applyBorder="1" applyAlignment="1">
      <alignment horizontal="center" vertical="center" wrapText="1"/>
    </xf>
    <xf numFmtId="0" fontId="12" fillId="8" borderId="59" xfId="0" applyFont="1" applyFill="1" applyBorder="1" applyAlignment="1">
      <alignment horizontal="center" vertical="center" wrapText="1"/>
    </xf>
    <xf numFmtId="14" fontId="11" fillId="8" borderId="23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14" fontId="12" fillId="8" borderId="0" xfId="0" applyNumberFormat="1" applyFont="1" applyFill="1" applyAlignment="1">
      <alignment horizontal="center"/>
    </xf>
    <xf numFmtId="14" fontId="12" fillId="8" borderId="19" xfId="0" applyNumberFormat="1" applyFont="1" applyFill="1" applyBorder="1" applyAlignment="1">
      <alignment horizontal="center" vertical="center" wrapText="1"/>
    </xf>
    <xf numFmtId="0" fontId="12" fillId="8" borderId="57" xfId="0" applyFont="1" applyFill="1" applyBorder="1" applyAlignment="1">
      <alignment horizontal="center" vertical="center" wrapText="1"/>
    </xf>
    <xf numFmtId="14" fontId="12" fillId="8" borderId="2" xfId="0" applyNumberFormat="1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4" fontId="12" fillId="8" borderId="42" xfId="0" applyNumberFormat="1" applyFont="1" applyFill="1" applyBorder="1" applyAlignment="1">
      <alignment horizontal="center" vertical="center"/>
    </xf>
    <xf numFmtId="4" fontId="12" fillId="8" borderId="5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 wrapText="1"/>
    </xf>
    <xf numFmtId="14" fontId="13" fillId="2" borderId="34" xfId="0" applyNumberFormat="1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14" fontId="13" fillId="2" borderId="23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14" fontId="11" fillId="4" borderId="39" xfId="0" applyNumberFormat="1" applyFont="1" applyFill="1" applyBorder="1" applyAlignment="1">
      <alignment horizontal="center" vertical="center" wrapText="1"/>
    </xf>
    <xf numFmtId="14" fontId="11" fillId="8" borderId="22" xfId="0" applyNumberFormat="1" applyFont="1" applyFill="1" applyBorder="1" applyAlignment="1">
      <alignment horizontal="center" vertical="center" wrapText="1"/>
    </xf>
    <xf numFmtId="9" fontId="12" fillId="8" borderId="27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9" fontId="12" fillId="0" borderId="7" xfId="0" applyNumberFormat="1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14" fontId="12" fillId="8" borderId="36" xfId="0" applyNumberFormat="1" applyFont="1" applyFill="1" applyBorder="1" applyAlignment="1">
      <alignment horizontal="center" vertical="center" wrapText="1"/>
    </xf>
    <xf numFmtId="9" fontId="12" fillId="5" borderId="36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4" fontId="14" fillId="8" borderId="27" xfId="0" applyNumberFormat="1" applyFont="1" applyFill="1" applyBorder="1" applyAlignment="1">
      <alignment horizontal="center" vertical="center" wrapText="1"/>
    </xf>
    <xf numFmtId="4" fontId="12" fillId="8" borderId="19" xfId="0" applyNumberFormat="1" applyFont="1" applyFill="1" applyBorder="1" applyAlignment="1">
      <alignment horizontal="center" vertical="center"/>
    </xf>
    <xf numFmtId="0" fontId="14" fillId="8" borderId="5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4" fontId="13" fillId="2" borderId="38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14" fontId="11" fillId="4" borderId="47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14" fontId="12" fillId="0" borderId="3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wrapText="1"/>
    </xf>
    <xf numFmtId="4" fontId="12" fillId="4" borderId="25" xfId="0" applyNumberFormat="1" applyFont="1" applyFill="1" applyBorder="1" applyAlignment="1">
      <alignment horizontal="center" vertical="center" wrapText="1"/>
    </xf>
    <xf numFmtId="4" fontId="12" fillId="4" borderId="2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14" fontId="12" fillId="4" borderId="23" xfId="0" applyNumberFormat="1" applyFont="1" applyFill="1" applyBorder="1" applyAlignment="1">
      <alignment horizontal="center" vertical="center" wrapText="1"/>
    </xf>
    <xf numFmtId="9" fontId="12" fillId="0" borderId="22" xfId="1" applyFont="1" applyFill="1" applyBorder="1" applyAlignment="1">
      <alignment horizontal="center" vertical="center" wrapText="1"/>
    </xf>
    <xf numFmtId="9" fontId="12" fillId="3" borderId="1" xfId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9" fontId="12" fillId="0" borderId="9" xfId="1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9" fontId="11" fillId="0" borderId="4" xfId="1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9" fontId="12" fillId="8" borderId="22" xfId="1" applyFont="1" applyFill="1" applyBorder="1" applyAlignment="1">
      <alignment horizontal="center" vertical="center" wrapText="1"/>
    </xf>
    <xf numFmtId="9" fontId="12" fillId="6" borderId="1" xfId="1" applyFont="1" applyFill="1" applyBorder="1" applyAlignment="1">
      <alignment horizontal="center" vertical="center" wrapText="1"/>
    </xf>
    <xf numFmtId="9" fontId="12" fillId="0" borderId="1" xfId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9" fontId="12" fillId="0" borderId="16" xfId="1" applyFont="1" applyFill="1" applyBorder="1" applyAlignment="1">
      <alignment horizontal="center" vertical="center" wrapText="1"/>
    </xf>
    <xf numFmtId="4" fontId="13" fillId="2" borderId="43" xfId="0" applyNumberFormat="1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4" fontId="14" fillId="0" borderId="43" xfId="0" applyNumberFormat="1" applyFont="1" applyFill="1" applyBorder="1" applyAlignment="1">
      <alignment horizontal="center" vertical="center" wrapText="1"/>
    </xf>
    <xf numFmtId="9" fontId="12" fillId="0" borderId="16" xfId="0" applyNumberFormat="1" applyFont="1" applyFill="1" applyBorder="1" applyAlignment="1">
      <alignment horizontal="center" vertical="center" wrapText="1"/>
    </xf>
    <xf numFmtId="9" fontId="12" fillId="8" borderId="4" xfId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4" fontId="14" fillId="5" borderId="36" xfId="0" applyNumberFormat="1" applyFont="1" applyFill="1" applyBorder="1" applyAlignment="1">
      <alignment horizontal="center" vertical="center" wrapText="1"/>
    </xf>
    <xf numFmtId="4" fontId="14" fillId="2" borderId="55" xfId="0" applyNumberFormat="1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4" fontId="11" fillId="8" borderId="0" xfId="0" applyNumberFormat="1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9" fontId="12" fillId="4" borderId="23" xfId="1" applyFont="1" applyFill="1" applyBorder="1" applyAlignment="1">
      <alignment horizontal="center" vertical="center" wrapText="1"/>
    </xf>
    <xf numFmtId="4" fontId="12" fillId="4" borderId="23" xfId="0" applyNumberFormat="1" applyFont="1" applyFill="1" applyBorder="1" applyAlignment="1">
      <alignment horizontal="center" vertical="center" wrapText="1"/>
    </xf>
    <xf numFmtId="4" fontId="13" fillId="4" borderId="39" xfId="0" applyNumberFormat="1" applyFont="1" applyFill="1" applyBorder="1" applyAlignment="1">
      <alignment horizontal="center" vertical="center" wrapText="1"/>
    </xf>
    <xf numFmtId="14" fontId="13" fillId="4" borderId="23" xfId="0" applyNumberFormat="1" applyFont="1" applyFill="1" applyBorder="1" applyAlignment="1">
      <alignment horizontal="center" vertical="center" wrapText="1"/>
    </xf>
    <xf numFmtId="9" fontId="13" fillId="4" borderId="23" xfId="0" applyNumberFormat="1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9" fontId="14" fillId="2" borderId="9" xfId="0" applyNumberFormat="1" applyFont="1" applyFill="1" applyBorder="1" applyAlignment="1">
      <alignment horizontal="center" vertical="center" wrapText="1"/>
    </xf>
    <xf numFmtId="4" fontId="14" fillId="6" borderId="36" xfId="0" applyNumberFormat="1" applyFont="1" applyFill="1" applyBorder="1" applyAlignment="1">
      <alignment horizontal="center" vertical="center" wrapText="1"/>
    </xf>
    <xf numFmtId="4" fontId="12" fillId="6" borderId="16" xfId="0" applyNumberFormat="1" applyFont="1" applyFill="1" applyBorder="1" applyAlignment="1">
      <alignment horizontal="center" vertical="center" wrapText="1"/>
    </xf>
    <xf numFmtId="4" fontId="14" fillId="6" borderId="43" xfId="0" applyNumberFormat="1" applyFont="1" applyFill="1" applyBorder="1" applyAlignment="1">
      <alignment horizontal="center" vertical="center" wrapText="1"/>
    </xf>
    <xf numFmtId="14" fontId="12" fillId="6" borderId="16" xfId="0" applyNumberFormat="1" applyFont="1" applyFill="1" applyBorder="1" applyAlignment="1">
      <alignment horizontal="center" vertical="center" wrapText="1"/>
    </xf>
    <xf numFmtId="4" fontId="14" fillId="2" borderId="53" xfId="0" applyNumberFormat="1" applyFont="1" applyFill="1" applyBorder="1" applyAlignment="1">
      <alignment horizontal="center" vertical="center" wrapText="1"/>
    </xf>
    <xf numFmtId="4" fontId="14" fillId="2" borderId="56" xfId="0" applyNumberFormat="1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4" fontId="14" fillId="2" borderId="36" xfId="0" applyNumberFormat="1" applyFont="1" applyFill="1" applyBorder="1" applyAlignment="1">
      <alignment horizontal="center" vertical="center" wrapText="1"/>
    </xf>
    <xf numFmtId="14" fontId="12" fillId="0" borderId="23" xfId="0" applyNumberFormat="1" applyFont="1" applyFill="1" applyBorder="1" applyAlignment="1">
      <alignment horizontal="center" vertical="center" wrapText="1"/>
    </xf>
    <xf numFmtId="9" fontId="14" fillId="8" borderId="22" xfId="0" applyNumberFormat="1" applyFont="1" applyFill="1" applyBorder="1" applyAlignment="1">
      <alignment horizontal="center" vertical="center" wrapText="1"/>
    </xf>
    <xf numFmtId="4" fontId="14" fillId="6" borderId="37" xfId="0" applyNumberFormat="1" applyFont="1" applyFill="1" applyBorder="1" applyAlignment="1">
      <alignment horizontal="center" vertical="center" wrapText="1"/>
    </xf>
    <xf numFmtId="4" fontId="11" fillId="6" borderId="0" xfId="0" applyNumberFormat="1" applyFont="1" applyFill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8" borderId="27" xfId="0" applyNumberFormat="1" applyFont="1" applyFill="1" applyBorder="1" applyAlignment="1">
      <alignment horizontal="center" vertical="center" wrapText="1"/>
    </xf>
    <xf numFmtId="14" fontId="11" fillId="8" borderId="37" xfId="0" applyNumberFormat="1" applyFont="1" applyFill="1" applyBorder="1" applyAlignment="1">
      <alignment horizontal="center" vertical="center" wrapText="1"/>
    </xf>
    <xf numFmtId="4" fontId="11" fillId="8" borderId="37" xfId="0" applyNumberFormat="1" applyFont="1" applyFill="1" applyBorder="1" applyAlignment="1">
      <alignment horizontal="center" vertical="center" wrapText="1"/>
    </xf>
    <xf numFmtId="9" fontId="12" fillId="8" borderId="37" xfId="0" applyNumberFormat="1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4" fontId="11" fillId="8" borderId="27" xfId="0" applyNumberFormat="1" applyFont="1" applyFill="1" applyBorder="1" applyAlignment="1">
      <alignment horizontal="center" vertical="center" wrapText="1"/>
    </xf>
    <xf numFmtId="14" fontId="11" fillId="8" borderId="27" xfId="0" applyNumberFormat="1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1" fillId="8" borderId="27" xfId="0" applyNumberFormat="1" applyFont="1" applyFill="1" applyBorder="1" applyAlignment="1">
      <alignment horizontal="center" vertical="center" wrapText="1"/>
    </xf>
    <xf numFmtId="0" fontId="11" fillId="8" borderId="4" xfId="0" applyNumberFormat="1" applyFont="1" applyFill="1" applyBorder="1" applyAlignment="1">
      <alignment horizontal="center" vertical="center" wrapText="1"/>
    </xf>
    <xf numFmtId="14" fontId="15" fillId="8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14" fontId="12" fillId="5" borderId="0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horizontal="center" vertical="center" wrapText="1"/>
    </xf>
    <xf numFmtId="4" fontId="12" fillId="5" borderId="19" xfId="0" applyNumberFormat="1" applyFont="1" applyFill="1" applyBorder="1" applyAlignment="1">
      <alignment horizontal="center" vertical="center" wrapText="1"/>
    </xf>
    <xf numFmtId="14" fontId="12" fillId="5" borderId="27" xfId="0" applyNumberFormat="1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center" wrapText="1"/>
    </xf>
    <xf numFmtId="14" fontId="12" fillId="5" borderId="4" xfId="0" applyNumberFormat="1" applyFont="1" applyFill="1" applyBorder="1" applyAlignment="1">
      <alignment horizontal="center" vertical="center" wrapText="1"/>
    </xf>
    <xf numFmtId="4" fontId="12" fillId="5" borderId="23" xfId="0" applyNumberFormat="1" applyFont="1" applyFill="1" applyBorder="1" applyAlignment="1">
      <alignment horizontal="center" vertical="center" wrapText="1"/>
    </xf>
    <xf numFmtId="4" fontId="12" fillId="5" borderId="0" xfId="0" applyNumberFormat="1" applyFont="1" applyFill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14" fontId="11" fillId="5" borderId="4" xfId="0" applyNumberFormat="1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4" fontId="12" fillId="5" borderId="22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4" fontId="13" fillId="2" borderId="25" xfId="0" applyNumberFormat="1" applyFont="1" applyFill="1" applyBorder="1" applyAlignment="1">
      <alignment horizontal="center" vertical="top" wrapText="1"/>
    </xf>
    <xf numFmtId="9" fontId="12" fillId="0" borderId="25" xfId="1" applyFont="1" applyFill="1" applyBorder="1" applyAlignment="1">
      <alignment horizontal="center" vertical="top" wrapText="1"/>
    </xf>
    <xf numFmtId="4" fontId="12" fillId="0" borderId="25" xfId="0" applyNumberFormat="1" applyFont="1" applyFill="1" applyBorder="1" applyAlignment="1">
      <alignment horizontal="center" vertical="top" wrapText="1"/>
    </xf>
    <xf numFmtId="4" fontId="13" fillId="2" borderId="34" xfId="0" applyNumberFormat="1" applyFont="1" applyFill="1" applyBorder="1" applyAlignment="1">
      <alignment horizontal="center" vertical="top" wrapText="1"/>
    </xf>
    <xf numFmtId="14" fontId="12" fillId="0" borderId="25" xfId="0" applyNumberFormat="1" applyFont="1" applyFill="1" applyBorder="1" applyAlignment="1">
      <alignment horizontal="center" vertical="top" wrapText="1"/>
    </xf>
    <xf numFmtId="0" fontId="12" fillId="0" borderId="25" xfId="0" applyNumberFormat="1" applyFont="1" applyFill="1" applyBorder="1" applyAlignment="1">
      <alignment horizontal="center" vertical="top" wrapText="1"/>
    </xf>
    <xf numFmtId="4" fontId="13" fillId="2" borderId="26" xfId="0" applyNumberFormat="1" applyFont="1" applyFill="1" applyBorder="1" applyAlignment="1">
      <alignment horizontal="center" vertical="top" wrapText="1"/>
    </xf>
    <xf numFmtId="14" fontId="13" fillId="2" borderId="38" xfId="0" applyNumberFormat="1" applyFont="1" applyFill="1" applyBorder="1" applyAlignment="1">
      <alignment horizontal="center" vertical="top" wrapText="1"/>
    </xf>
    <xf numFmtId="4" fontId="13" fillId="2" borderId="27" xfId="0" applyNumberFormat="1" applyFont="1" applyFill="1" applyBorder="1" applyAlignment="1">
      <alignment horizontal="center" vertical="top" wrapText="1"/>
    </xf>
    <xf numFmtId="9" fontId="13" fillId="2" borderId="15" xfId="0" applyNumberFormat="1" applyFont="1" applyFill="1" applyBorder="1" applyAlignment="1">
      <alignment horizontal="center" vertical="top" wrapText="1"/>
    </xf>
    <xf numFmtId="0" fontId="14" fillId="2" borderId="61" xfId="0" applyFont="1" applyFill="1" applyBorder="1" applyAlignment="1">
      <alignment horizontal="center" vertical="top" wrapText="1"/>
    </xf>
    <xf numFmtId="1" fontId="11" fillId="0" borderId="18" xfId="0" applyNumberFormat="1" applyFont="1" applyFill="1" applyBorder="1" applyAlignment="1">
      <alignment horizontal="center" vertical="top" wrapText="1"/>
    </xf>
    <xf numFmtId="4" fontId="12" fillId="0" borderId="17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11" fillId="0" borderId="39" xfId="0" applyFont="1" applyBorder="1" applyAlignment="1">
      <alignment horizontal="left" vertical="top" wrapText="1"/>
    </xf>
    <xf numFmtId="4" fontId="14" fillId="2" borderId="22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>
      <alignment horizontal="center" vertical="top" wrapText="1"/>
    </xf>
    <xf numFmtId="4" fontId="13" fillId="2" borderId="23" xfId="0" applyNumberFormat="1" applyFont="1" applyFill="1" applyBorder="1" applyAlignment="1">
      <alignment horizontal="center" vertical="top" wrapText="1"/>
    </xf>
    <xf numFmtId="14" fontId="13" fillId="2" borderId="23" xfId="0" applyNumberFormat="1" applyFont="1" applyFill="1" applyBorder="1" applyAlignment="1">
      <alignment horizontal="center" vertical="top" wrapText="1"/>
    </xf>
    <xf numFmtId="9" fontId="13" fillId="2" borderId="23" xfId="0" applyNumberFormat="1" applyFont="1" applyFill="1" applyBorder="1" applyAlignment="1">
      <alignment horizontal="center" vertical="top" wrapText="1"/>
    </xf>
    <xf numFmtId="0" fontId="14" fillId="2" borderId="59" xfId="0" applyFont="1" applyFill="1" applyBorder="1" applyAlignment="1">
      <alignment horizontal="center" vertical="top" wrapText="1"/>
    </xf>
    <xf numFmtId="1" fontId="11" fillId="0" borderId="40" xfId="0" applyNumberFormat="1" applyFont="1" applyFill="1" applyBorder="1" applyAlignment="1">
      <alignment horizontal="center" vertical="top" wrapText="1"/>
    </xf>
    <xf numFmtId="4" fontId="12" fillId="0" borderId="37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4" fontId="14" fillId="2" borderId="16" xfId="0" applyNumberFormat="1" applyFont="1" applyFill="1" applyBorder="1" applyAlignment="1">
      <alignment horizontal="center" vertical="top" wrapText="1"/>
    </xf>
    <xf numFmtId="0" fontId="14" fillId="8" borderId="37" xfId="0" applyFont="1" applyFill="1" applyBorder="1" applyAlignment="1">
      <alignment horizontal="center" vertical="center" wrapText="1"/>
    </xf>
    <xf numFmtId="4" fontId="14" fillId="8" borderId="37" xfId="0" applyNumberFormat="1" applyFont="1" applyFill="1" applyBorder="1" applyAlignment="1">
      <alignment horizontal="center" vertical="center" wrapText="1"/>
    </xf>
    <xf numFmtId="0" fontId="13" fillId="6" borderId="11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vertical="center" wrapText="1"/>
    </xf>
    <xf numFmtId="4" fontId="14" fillId="6" borderId="4" xfId="0" applyNumberFormat="1" applyFont="1" applyFill="1" applyBorder="1" applyAlignment="1">
      <alignment horizontal="center" vertical="center" wrapText="1"/>
    </xf>
    <xf numFmtId="4" fontId="14" fillId="6" borderId="40" xfId="0" applyNumberFormat="1" applyFont="1" applyFill="1" applyBorder="1" applyAlignment="1">
      <alignment horizontal="center" vertical="center" wrapText="1"/>
    </xf>
    <xf numFmtId="4" fontId="12" fillId="6" borderId="4" xfId="0" applyNumberFormat="1" applyFont="1" applyFill="1" applyBorder="1" applyAlignment="1">
      <alignment horizontal="center" vertical="center" wrapText="1"/>
    </xf>
    <xf numFmtId="1" fontId="11" fillId="6" borderId="6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4" fontId="14" fillId="8" borderId="19" xfId="0" applyNumberFormat="1" applyFont="1" applyFill="1" applyBorder="1" applyAlignment="1">
      <alignment horizontal="center"/>
    </xf>
    <xf numFmtId="0" fontId="11" fillId="0" borderId="5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8" borderId="19" xfId="0" applyFont="1" applyFill="1" applyBorder="1" applyAlignment="1">
      <alignment horizontal="center" vertical="center" wrapText="1"/>
    </xf>
    <xf numFmtId="9" fontId="11" fillId="8" borderId="4" xfId="0" applyNumberFormat="1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4" fontId="14" fillId="2" borderId="40" xfId="0" applyNumberFormat="1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4" fontId="14" fillId="8" borderId="38" xfId="0" applyNumberFormat="1" applyFont="1" applyFill="1" applyBorder="1" applyAlignment="1">
      <alignment horizontal="center" vertical="center" wrapText="1"/>
    </xf>
    <xf numFmtId="4" fontId="13" fillId="8" borderId="27" xfId="0" applyNumberFormat="1" applyFont="1" applyFill="1" applyBorder="1" applyAlignment="1">
      <alignment horizontal="center" vertical="center" wrapText="1"/>
    </xf>
    <xf numFmtId="14" fontId="13" fillId="8" borderId="27" xfId="0" applyNumberFormat="1" applyFont="1" applyFill="1" applyBorder="1" applyAlignment="1">
      <alignment horizontal="center" vertical="center" wrapText="1"/>
    </xf>
    <xf numFmtId="9" fontId="14" fillId="8" borderId="27" xfId="0" applyNumberFormat="1" applyFont="1" applyFill="1" applyBorder="1" applyAlignment="1">
      <alignment horizontal="center" vertical="center" wrapText="1"/>
    </xf>
    <xf numFmtId="1" fontId="11" fillId="8" borderId="3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4" fontId="12" fillId="0" borderId="30" xfId="0" applyNumberFormat="1" applyFont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9" fontId="14" fillId="2" borderId="23" xfId="0" applyNumberFormat="1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4" fontId="14" fillId="2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4" fontId="13" fillId="2" borderId="49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vertical="center" wrapText="1"/>
    </xf>
    <xf numFmtId="4" fontId="13" fillId="2" borderId="3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13" fillId="2" borderId="53" xfId="0" applyNumberFormat="1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9" fontId="13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4" fontId="14" fillId="0" borderId="22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top" wrapText="1"/>
    </xf>
    <xf numFmtId="4" fontId="13" fillId="2" borderId="22" xfId="0" applyNumberFormat="1" applyFont="1" applyFill="1" applyBorder="1" applyAlignment="1">
      <alignment horizontal="center" vertical="top" wrapText="1"/>
    </xf>
    <xf numFmtId="14" fontId="13" fillId="2" borderId="22" xfId="0" applyNumberFormat="1" applyFont="1" applyFill="1" applyBorder="1" applyAlignment="1">
      <alignment horizontal="center" vertical="top" wrapText="1"/>
    </xf>
    <xf numFmtId="9" fontId="13" fillId="2" borderId="22" xfId="0" applyNumberFormat="1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1" fontId="11" fillId="0" borderId="22" xfId="0" applyNumberFormat="1" applyFont="1" applyFill="1" applyBorder="1" applyAlignment="1">
      <alignment horizontal="center" vertical="top" wrapText="1"/>
    </xf>
    <xf numFmtId="9" fontId="13" fillId="4" borderId="3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4" fontId="17" fillId="8" borderId="4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4" fontId="17" fillId="8" borderId="5" xfId="0" applyNumberFormat="1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 vertical="center" wrapText="1"/>
    </xf>
    <xf numFmtId="9" fontId="13" fillId="2" borderId="20" xfId="0" applyNumberFormat="1" applyFont="1" applyFill="1" applyBorder="1" applyAlignment="1">
      <alignment horizontal="center" vertical="center" wrapText="1"/>
    </xf>
    <xf numFmtId="4" fontId="14" fillId="5" borderId="4" xfId="0" applyNumberFormat="1" applyFont="1" applyFill="1" applyBorder="1" applyAlignment="1">
      <alignment horizontal="center" vertical="center" wrapText="1"/>
    </xf>
    <xf numFmtId="4" fontId="14" fillId="5" borderId="19" xfId="0" applyNumberFormat="1" applyFont="1" applyFill="1" applyBorder="1" applyAlignment="1">
      <alignment horizontal="center" vertical="center" wrapText="1"/>
    </xf>
    <xf numFmtId="4" fontId="17" fillId="5" borderId="5" xfId="0" applyNumberFormat="1" applyFont="1" applyFill="1" applyBorder="1" applyAlignment="1">
      <alignment horizontal="center" vertical="center" wrapText="1"/>
    </xf>
    <xf numFmtId="9" fontId="18" fillId="5" borderId="19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14" fillId="5" borderId="2" xfId="0" applyNumberFormat="1" applyFont="1" applyFill="1" applyBorder="1" applyAlignment="1">
      <alignment horizontal="center" vertical="center" wrapText="1"/>
    </xf>
    <xf numFmtId="4" fontId="12" fillId="5" borderId="7" xfId="0" applyNumberFormat="1" applyFont="1" applyFill="1" applyBorder="1" applyAlignment="1">
      <alignment horizontal="center" vertical="center" wrapText="1"/>
    </xf>
    <xf numFmtId="9" fontId="12" fillId="5" borderId="2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9" fontId="18" fillId="8" borderId="4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4" fillId="4" borderId="25" xfId="0" applyNumberFormat="1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5" xfId="0" applyNumberFormat="1" applyFont="1" applyFill="1" applyBorder="1" applyAlignment="1">
      <alignment horizontal="center" vertical="center" wrapText="1"/>
    </xf>
    <xf numFmtId="4" fontId="13" fillId="4" borderId="26" xfId="0" applyNumberFormat="1" applyFont="1" applyFill="1" applyBorder="1" applyAlignment="1">
      <alignment horizontal="center" vertical="center" wrapText="1"/>
    </xf>
    <xf numFmtId="14" fontId="13" fillId="4" borderId="39" xfId="0" applyNumberFormat="1" applyFont="1" applyFill="1" applyBorder="1" applyAlignment="1">
      <alignment horizontal="center" vertical="center" wrapText="1"/>
    </xf>
    <xf numFmtId="9" fontId="14" fillId="4" borderId="23" xfId="0" applyNumberFormat="1" applyFont="1" applyFill="1" applyBorder="1" applyAlignment="1">
      <alignment horizontal="center" vertical="center" wrapText="1"/>
    </xf>
    <xf numFmtId="4" fontId="14" fillId="4" borderId="59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164" fontId="12" fillId="8" borderId="4" xfId="0" applyNumberFormat="1" applyFont="1" applyFill="1" applyBorder="1" applyAlignment="1">
      <alignment horizontal="center" vertical="center" wrapText="1"/>
    </xf>
    <xf numFmtId="4" fontId="11" fillId="8" borderId="5" xfId="0" applyNumberFormat="1" applyFont="1" applyFill="1" applyBorder="1" applyAlignment="1">
      <alignment horizontal="center" vertical="center" wrapText="1"/>
    </xf>
    <xf numFmtId="9" fontId="12" fillId="8" borderId="19" xfId="0" applyNumberFormat="1" applyFont="1" applyFill="1" applyBorder="1" applyAlignment="1">
      <alignment horizontal="center" vertical="center" wrapText="1"/>
    </xf>
    <xf numFmtId="9" fontId="12" fillId="8" borderId="1" xfId="1" applyFont="1" applyFill="1" applyBorder="1" applyAlignment="1">
      <alignment horizontal="center" vertical="center" wrapText="1"/>
    </xf>
    <xf numFmtId="9" fontId="12" fillId="8" borderId="27" xfId="1" applyFont="1" applyFill="1" applyBorder="1" applyAlignment="1">
      <alignment horizontal="center" vertical="center" wrapText="1"/>
    </xf>
    <xf numFmtId="4" fontId="12" fillId="8" borderId="1" xfId="1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9" fontId="12" fillId="0" borderId="19" xfId="0" applyNumberFormat="1" applyFont="1" applyFill="1" applyBorder="1" applyAlignment="1">
      <alignment horizontal="center" vertical="center" wrapText="1"/>
    </xf>
    <xf numFmtId="9" fontId="12" fillId="0" borderId="43" xfId="0" applyNumberFormat="1" applyFont="1" applyFill="1" applyBorder="1" applyAlignment="1">
      <alignment horizontal="center" vertical="center" wrapText="1"/>
    </xf>
    <xf numFmtId="9" fontId="12" fillId="8" borderId="40" xfId="0" applyNumberFormat="1" applyFont="1" applyFill="1" applyBorder="1" applyAlignment="1">
      <alignment horizontal="center" vertical="center" wrapText="1"/>
    </xf>
    <xf numFmtId="9" fontId="12" fillId="5" borderId="19" xfId="0" applyNumberFormat="1" applyFont="1" applyFill="1" applyBorder="1" applyAlignment="1">
      <alignment horizontal="center" vertical="center" wrapText="1"/>
    </xf>
    <xf numFmtId="9" fontId="12" fillId="3" borderId="40" xfId="0" applyNumberFormat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9" fontId="12" fillId="8" borderId="63" xfId="0" applyNumberFormat="1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9" fontId="12" fillId="3" borderId="64" xfId="0" applyNumberFormat="1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9" fontId="13" fillId="2" borderId="65" xfId="0" applyNumberFormat="1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9" fontId="12" fillId="0" borderId="40" xfId="0" applyNumberFormat="1" applyFont="1" applyFill="1" applyBorder="1" applyAlignment="1">
      <alignment horizontal="center" vertical="center" wrapText="1"/>
    </xf>
    <xf numFmtId="0" fontId="14" fillId="8" borderId="53" xfId="0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9" fontId="13" fillId="3" borderId="39" xfId="0" applyNumberFormat="1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4" fillId="2" borderId="59" xfId="0" applyNumberFormat="1" applyFont="1" applyFill="1" applyBorder="1" applyAlignment="1">
      <alignment horizontal="center" vertical="center" wrapText="1"/>
    </xf>
    <xf numFmtId="9" fontId="13" fillId="2" borderId="43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9" fontId="13" fillId="2" borderId="66" xfId="0" applyNumberFormat="1" applyFont="1" applyFill="1" applyBorder="1" applyAlignment="1">
      <alignment horizontal="center" vertical="center" wrapText="1"/>
    </xf>
    <xf numFmtId="1" fontId="11" fillId="0" borderId="39" xfId="0" applyNumberFormat="1" applyFont="1" applyFill="1" applyBorder="1" applyAlignment="1">
      <alignment horizontal="center" vertical="center" wrapText="1"/>
    </xf>
    <xf numFmtId="9" fontId="13" fillId="4" borderId="47" xfId="0" applyNumberFormat="1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9" fontId="12" fillId="0" borderId="1" xfId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9" fontId="12" fillId="8" borderId="1" xfId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2" fillId="8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9" fontId="11" fillId="4" borderId="1" xfId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14" fontId="12" fillId="8" borderId="4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9" fontId="12" fillId="8" borderId="1" xfId="1" applyFont="1" applyFill="1" applyBorder="1" applyAlignment="1">
      <alignment horizontal="center" vertical="center" wrapText="1"/>
    </xf>
    <xf numFmtId="14" fontId="12" fillId="8" borderId="27" xfId="0" applyNumberFormat="1" applyFont="1" applyFill="1" applyBorder="1" applyAlignment="1">
      <alignment horizontal="center" vertical="center" wrapText="1"/>
    </xf>
    <xf numFmtId="14" fontId="12" fillId="8" borderId="23" xfId="0" applyNumberFormat="1" applyFont="1" applyFill="1" applyBorder="1" applyAlignment="1">
      <alignment horizontal="center" vertical="center" wrapText="1"/>
    </xf>
    <xf numFmtId="14" fontId="12" fillId="8" borderId="22" xfId="0" applyNumberFormat="1" applyFont="1" applyFill="1" applyBorder="1" applyAlignment="1">
      <alignment horizontal="center" vertical="center" wrapText="1"/>
    </xf>
    <xf numFmtId="0" fontId="12" fillId="8" borderId="23" xfId="0" applyNumberFormat="1" applyFont="1" applyFill="1" applyBorder="1" applyAlignment="1">
      <alignment horizontal="center" vertical="center" wrapText="1"/>
    </xf>
    <xf numFmtId="0" fontId="12" fillId="8" borderId="22" xfId="0" applyNumberFormat="1" applyFont="1" applyFill="1" applyBorder="1" applyAlignment="1">
      <alignment horizontal="center" vertical="center" wrapText="1"/>
    </xf>
    <xf numFmtId="14" fontId="12" fillId="0" borderId="23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9" fontId="12" fillId="8" borderId="16" xfId="1" applyFont="1" applyFill="1" applyBorder="1" applyAlignment="1">
      <alignment horizontal="center" vertical="center" wrapText="1"/>
    </xf>
    <xf numFmtId="9" fontId="12" fillId="8" borderId="23" xfId="1" applyFont="1" applyFill="1" applyBorder="1" applyAlignment="1">
      <alignment horizontal="center" vertical="center" wrapText="1"/>
    </xf>
    <xf numFmtId="9" fontId="12" fillId="8" borderId="22" xfId="1" applyFont="1" applyFill="1" applyBorder="1" applyAlignment="1">
      <alignment horizontal="center" vertical="center" wrapText="1"/>
    </xf>
    <xf numFmtId="4" fontId="12" fillId="8" borderId="16" xfId="0" applyNumberFormat="1" applyFont="1" applyFill="1" applyBorder="1" applyAlignment="1">
      <alignment horizontal="center" vertical="center" wrapText="1"/>
    </xf>
    <xf numFmtId="4" fontId="12" fillId="8" borderId="23" xfId="0" applyNumberFormat="1" applyFont="1" applyFill="1" applyBorder="1" applyAlignment="1">
      <alignment horizontal="center" vertical="center" wrapText="1"/>
    </xf>
    <xf numFmtId="4" fontId="12" fillId="8" borderId="22" xfId="0" applyNumberFormat="1" applyFont="1" applyFill="1" applyBorder="1" applyAlignment="1">
      <alignment horizontal="center" vertical="center" wrapText="1"/>
    </xf>
    <xf numFmtId="9" fontId="12" fillId="0" borderId="16" xfId="1" applyFont="1" applyFill="1" applyBorder="1" applyAlignment="1">
      <alignment horizontal="center" vertical="center" wrapText="1"/>
    </xf>
    <xf numFmtId="9" fontId="12" fillId="0" borderId="23" xfId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9" fontId="12" fillId="0" borderId="1" xfId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1" fillId="4" borderId="3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9" fontId="12" fillId="0" borderId="9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1" fillId="0" borderId="5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14" fontId="14" fillId="8" borderId="27" xfId="0" applyNumberFormat="1" applyFont="1" applyFill="1" applyBorder="1" applyAlignment="1">
      <alignment horizontal="center" vertical="center" wrapText="1"/>
    </xf>
    <xf numFmtId="14" fontId="14" fillId="8" borderId="22" xfId="0" applyNumberFormat="1" applyFont="1" applyFill="1" applyBorder="1" applyAlignment="1">
      <alignment horizontal="center" vertical="center" wrapText="1"/>
    </xf>
    <xf numFmtId="14" fontId="12" fillId="8" borderId="1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4" fontId="12" fillId="8" borderId="27" xfId="0" applyNumberFormat="1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13" fillId="2" borderId="21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14" fontId="12" fillId="8" borderId="4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4" fontId="13" fillId="2" borderId="27" xfId="0" applyNumberFormat="1" applyFont="1" applyFill="1" applyBorder="1" applyAlignment="1">
      <alignment horizontal="center" vertical="center" wrapText="1"/>
    </xf>
    <xf numFmtId="4" fontId="13" fillId="2" borderId="2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0" fontId="13" fillId="2" borderId="60" xfId="0" applyNumberFormat="1" applyFont="1" applyFill="1" applyBorder="1" applyAlignment="1">
      <alignment horizontal="center" vertical="center" wrapText="1"/>
    </xf>
    <xf numFmtId="0" fontId="13" fillId="2" borderId="29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3" fillId="2" borderId="32" xfId="0" applyNumberFormat="1" applyFont="1" applyFill="1" applyBorder="1" applyAlignment="1">
      <alignment horizontal="center" vertical="center" wrapText="1"/>
    </xf>
    <xf numFmtId="0" fontId="13" fillId="2" borderId="33" xfId="0" applyNumberFormat="1" applyFont="1" applyFill="1" applyBorder="1" applyAlignment="1">
      <alignment horizontal="center" vertical="center" wrapText="1"/>
    </xf>
    <xf numFmtId="14" fontId="14" fillId="8" borderId="16" xfId="0" applyNumberFormat="1" applyFont="1" applyFill="1" applyBorder="1" applyAlignment="1">
      <alignment horizontal="center" vertical="center" wrapText="1"/>
    </xf>
    <xf numFmtId="14" fontId="14" fillId="8" borderId="23" xfId="0" applyNumberFormat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14" fontId="12" fillId="8" borderId="9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4" fontId="12" fillId="8" borderId="9" xfId="0" applyNumberFormat="1" applyFont="1" applyFill="1" applyBorder="1" applyAlignment="1">
      <alignment horizontal="center" vertical="center" wrapText="1"/>
    </xf>
    <xf numFmtId="9" fontId="12" fillId="8" borderId="1" xfId="1" applyFont="1" applyFill="1" applyBorder="1" applyAlignment="1">
      <alignment horizontal="center" vertical="center" wrapText="1"/>
    </xf>
    <xf numFmtId="9" fontId="12" fillId="8" borderId="9" xfId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9" fontId="12" fillId="0" borderId="22" xfId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9" fontId="12" fillId="0" borderId="27" xfId="1" applyFont="1" applyFill="1" applyBorder="1" applyAlignment="1">
      <alignment horizontal="center" vertical="center" wrapText="1"/>
    </xf>
    <xf numFmtId="14" fontId="12" fillId="0" borderId="27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14" fontId="12" fillId="0" borderId="35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9" fontId="12" fillId="0" borderId="35" xfId="1" applyFont="1" applyFill="1" applyBorder="1" applyAlignment="1">
      <alignment horizontal="center" vertical="center" wrapText="1"/>
    </xf>
    <xf numFmtId="4" fontId="12" fillId="0" borderId="3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9" fontId="2" fillId="0" borderId="16" xfId="1" applyFont="1" applyFill="1" applyBorder="1" applyAlignment="1">
      <alignment horizontal="center" vertical="center" wrapText="1"/>
    </xf>
    <xf numFmtId="9" fontId="2" fillId="0" borderId="23" xfId="1" applyFont="1" applyFill="1" applyBorder="1" applyAlignment="1">
      <alignment horizontal="center" vertical="center" wrapText="1"/>
    </xf>
    <xf numFmtId="9" fontId="2" fillId="0" borderId="22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2"/>
    <cellStyle name="Обычный 2 3" xfId="6"/>
    <cellStyle name="Обычный 3" xfId="5"/>
    <cellStyle name="Процентный" xfId="1" builtinId="5"/>
    <cellStyle name="Финансовый" xfId="4" builtinId="3"/>
  </cellStyles>
  <dxfs count="0"/>
  <tableStyles count="0" defaultTableStyle="TableStyleMedium2" defaultPivotStyle="PivotStyleLight16"/>
  <colors>
    <mruColors>
      <color rgb="FFF9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rackstation\&#1060;&#1054;&#1053;&#1044;\4.%20&#1054;&#1090;&#1095;&#1077;&#1090;&#1099;%20&#1060;&#1086;&#1085;&#1076;&#1072;\&#1045;&#1078;&#1077;&#1084;&#1077;&#1089;&#1103;&#1095;&#1085;&#1099;&#1081;%20&#1086;&#1090;&#1095;&#1077;&#1090;%20&#1074;%20&#1052;&#1080;&#1085;.%20&#1046;&#1050;&#1061;\10%20&#1057;&#1077;&#1085;&#1090;&#1103;&#1073;&#1088;&#1100;%202016\05.09.2016\&#1056;&#1054;-3%20(&#1054;&#1090;&#1095;&#1077;&#1090;%20&#1046;&#1050;&#1061;%20%202016%20&#1075;&#1086;&#1076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/>
  </sheetPr>
  <dimension ref="A1:Y2409"/>
  <sheetViews>
    <sheetView tabSelected="1" view="pageBreakPreview" zoomScale="60" zoomScaleNormal="70" workbookViewId="0">
      <pane ySplit="2" topLeftCell="A3" activePane="bottomLeft" state="frozen"/>
      <selection pane="bottomLeft" activeCell="D2" sqref="D2"/>
    </sheetView>
  </sheetViews>
  <sheetFormatPr defaultColWidth="9.140625" defaultRowHeight="15" outlineLevelRow="1" x14ac:dyDescent="0.25"/>
  <cols>
    <col min="1" max="1" width="11.85546875" style="1" customWidth="1"/>
    <col min="2" max="2" width="29.5703125" style="1" customWidth="1"/>
    <col min="3" max="3" width="23" style="1" customWidth="1"/>
    <col min="4" max="4" width="22.85546875" style="8" customWidth="1"/>
    <col min="5" max="5" width="27" style="1" customWidth="1"/>
    <col min="6" max="6" width="30.140625" style="1" customWidth="1"/>
    <col min="7" max="7" width="23" style="8" customWidth="1"/>
    <col min="8" max="8" width="21.140625" style="1" customWidth="1"/>
    <col min="9" max="9" width="21.5703125" style="52" customWidth="1"/>
    <col min="10" max="10" width="21.85546875" style="8" hidden="1" customWidth="1"/>
    <col min="11" max="11" width="20.7109375" style="8" hidden="1" customWidth="1"/>
    <col min="12" max="12" width="20.7109375" style="103" hidden="1" customWidth="1"/>
    <col min="13" max="13" width="20.7109375" style="8" hidden="1" customWidth="1"/>
    <col min="14" max="14" width="24" style="63" hidden="1" customWidth="1"/>
    <col min="15" max="15" width="33.7109375" style="1" hidden="1" customWidth="1"/>
    <col min="16" max="16" width="25" style="83" hidden="1" customWidth="1"/>
    <col min="17" max="17" width="46.42578125" style="18" hidden="1" customWidth="1"/>
    <col min="18" max="18" width="17.140625" style="18" customWidth="1"/>
    <col min="19" max="19" width="19.28515625" style="18" customWidth="1"/>
    <col min="20" max="20" width="20.7109375" style="18" customWidth="1"/>
    <col min="21" max="21" width="13.7109375" style="18" customWidth="1"/>
    <col min="22" max="22" width="16.42578125" style="18" customWidth="1"/>
    <col min="23" max="16384" width="9.140625" style="1"/>
  </cols>
  <sheetData>
    <row r="1" spans="1:25" ht="36.75" customHeight="1" thickBot="1" x14ac:dyDescent="0.3">
      <c r="A1" s="129" t="s">
        <v>945</v>
      </c>
      <c r="B1" s="1164" t="s">
        <v>1489</v>
      </c>
      <c r="C1" s="1164"/>
      <c r="D1" s="1164"/>
      <c r="E1" s="1164"/>
      <c r="F1" s="1164"/>
      <c r="G1" s="1164"/>
      <c r="H1" s="1164"/>
      <c r="I1" s="1164"/>
      <c r="J1" s="1164"/>
      <c r="K1" s="1164"/>
      <c r="L1" s="130"/>
      <c r="M1" s="131"/>
      <c r="N1" s="131"/>
      <c r="O1" s="131"/>
      <c r="P1" s="131"/>
      <c r="Q1" s="131"/>
      <c r="R1" s="132"/>
    </row>
    <row r="2" spans="1:25" ht="123" customHeight="1" thickBot="1" x14ac:dyDescent="0.3">
      <c r="A2" s="133" t="s">
        <v>0</v>
      </c>
      <c r="B2" s="134" t="s">
        <v>1</v>
      </c>
      <c r="C2" s="134" t="s">
        <v>650</v>
      </c>
      <c r="D2" s="135" t="s">
        <v>1490</v>
      </c>
      <c r="E2" s="134" t="s">
        <v>652</v>
      </c>
      <c r="F2" s="134" t="s">
        <v>932</v>
      </c>
      <c r="G2" s="136" t="s">
        <v>933</v>
      </c>
      <c r="H2" s="134" t="s">
        <v>653</v>
      </c>
      <c r="I2" s="137" t="s">
        <v>654</v>
      </c>
      <c r="J2" s="135" t="s">
        <v>834</v>
      </c>
      <c r="K2" s="135" t="s">
        <v>831</v>
      </c>
      <c r="L2" s="138" t="s">
        <v>934</v>
      </c>
      <c r="M2" s="135" t="s">
        <v>935</v>
      </c>
      <c r="N2" s="139" t="s">
        <v>936</v>
      </c>
      <c r="O2" s="140" t="s">
        <v>651</v>
      </c>
      <c r="P2" s="137" t="s">
        <v>1100</v>
      </c>
      <c r="Q2" s="137" t="s">
        <v>1096</v>
      </c>
      <c r="R2" s="132"/>
      <c r="W2" s="4"/>
      <c r="X2" s="4"/>
      <c r="Y2" s="4"/>
    </row>
    <row r="3" spans="1:25" s="14" customFormat="1" ht="17.25" customHeight="1" thickBot="1" x14ac:dyDescent="0.3">
      <c r="A3" s="141">
        <v>1</v>
      </c>
      <c r="B3" s="142">
        <v>2</v>
      </c>
      <c r="C3" s="142">
        <v>3</v>
      </c>
      <c r="D3" s="142">
        <v>4</v>
      </c>
      <c r="E3" s="142">
        <v>5</v>
      </c>
      <c r="F3" s="142">
        <v>6</v>
      </c>
      <c r="G3" s="143">
        <v>7</v>
      </c>
      <c r="H3" s="142">
        <v>8</v>
      </c>
      <c r="I3" s="142">
        <v>9</v>
      </c>
      <c r="J3" s="142">
        <v>10</v>
      </c>
      <c r="K3" s="142">
        <v>11</v>
      </c>
      <c r="L3" s="144">
        <v>12</v>
      </c>
      <c r="M3" s="142">
        <v>13</v>
      </c>
      <c r="N3" s="145">
        <v>14</v>
      </c>
      <c r="O3" s="146">
        <v>15</v>
      </c>
      <c r="P3" s="141"/>
      <c r="Q3" s="147"/>
      <c r="R3" s="132"/>
      <c r="S3" s="18"/>
      <c r="T3" s="18"/>
      <c r="U3" s="18"/>
      <c r="V3" s="18"/>
      <c r="W3" s="18"/>
      <c r="X3" s="18"/>
      <c r="Y3" s="18"/>
    </row>
    <row r="4" spans="1:25" ht="29.25" customHeight="1" thickBot="1" x14ac:dyDescent="0.3">
      <c r="A4" s="1086" t="s">
        <v>655</v>
      </c>
      <c r="B4" s="1087"/>
      <c r="C4" s="148"/>
      <c r="D4" s="149">
        <f>D145+D231+D241+D325+D519+D581+D611+D677+D701+D914+D1012+D1075+D1168+D1258+D1345+D1460+D1605+D1732+D1785+D2403</f>
        <v>4379575366.7421427</v>
      </c>
      <c r="E4" s="150"/>
      <c r="F4" s="150"/>
      <c r="G4" s="151">
        <f>G145+G231+G241+G325+G519+G581+G611+G677+G701+G914+G1012+G1075+G1168+G1258+G1345+G1460+G1605+G1732+G1785+G2403</f>
        <v>4334687954.8876629</v>
      </c>
      <c r="H4" s="152"/>
      <c r="I4" s="153"/>
      <c r="J4" s="149">
        <f>J145+J231+J241+J325+J519+J581+J611+J677+J701+J914+J1012+J1075+J1168+J1258+J1345+J1460+J1605+J1732+J1785+J2403</f>
        <v>2873031001.2445841</v>
      </c>
      <c r="K4" s="149">
        <f>K145+K231+K241+K325+K519+K581+K611+K677+K701+K914+K1012+K1075+K1168+K1258+K1345+K1460+K1605+K1732+K1785+K2403</f>
        <v>2842463917.1450481</v>
      </c>
      <c r="L4" s="154"/>
      <c r="M4" s="149"/>
      <c r="N4" s="155" t="e">
        <f>AVERAGE(N145,N231,N241,N325,N519,N581,N611,N677,N701,N914,N1012,N1075,N1168,N1258,N1345,N1460,N1605,N1732,N1785,N2403)</f>
        <v>#DIV/0!</v>
      </c>
      <c r="O4" s="156"/>
      <c r="P4" s="141" t="s">
        <v>1162</v>
      </c>
      <c r="Q4" s="147"/>
      <c r="R4" s="132"/>
      <c r="W4" s="4"/>
      <c r="X4" s="4"/>
      <c r="Y4" s="4"/>
    </row>
    <row r="5" spans="1:25" ht="29.25" customHeight="1" thickBot="1" x14ac:dyDescent="0.3">
      <c r="A5" s="1048" t="s">
        <v>631</v>
      </c>
      <c r="B5" s="1049"/>
      <c r="C5" s="1049"/>
      <c r="D5" s="1049"/>
      <c r="E5" s="1049"/>
      <c r="F5" s="1049"/>
      <c r="G5" s="1049"/>
      <c r="H5" s="1049"/>
      <c r="I5" s="1049"/>
      <c r="J5" s="1049"/>
      <c r="K5" s="1049"/>
      <c r="L5" s="1049"/>
      <c r="M5" s="1049"/>
      <c r="N5" s="1049"/>
      <c r="O5" s="1049"/>
      <c r="P5" s="157"/>
      <c r="Q5" s="158"/>
      <c r="R5" s="132"/>
    </row>
    <row r="6" spans="1:25" s="5" customFormat="1" ht="16.5" x14ac:dyDescent="0.25">
      <c r="A6" s="1109">
        <v>1</v>
      </c>
      <c r="B6" s="1115" t="s">
        <v>41</v>
      </c>
      <c r="C6" s="159" t="s">
        <v>38</v>
      </c>
      <c r="D6" s="159">
        <v>504504.28</v>
      </c>
      <c r="E6" s="987" t="s">
        <v>1194</v>
      </c>
      <c r="F6" s="987" t="s">
        <v>914</v>
      </c>
      <c r="G6" s="160">
        <v>504491.13</v>
      </c>
      <c r="H6" s="161">
        <v>42690</v>
      </c>
      <c r="I6" s="161">
        <v>42719</v>
      </c>
      <c r="J6" s="162">
        <v>443997.31</v>
      </c>
      <c r="K6" s="162">
        <v>443997.31</v>
      </c>
      <c r="L6" s="161">
        <v>42753</v>
      </c>
      <c r="M6" s="163"/>
      <c r="N6" s="164">
        <v>0.15</v>
      </c>
      <c r="O6" s="165"/>
      <c r="P6" s="166">
        <v>2017</v>
      </c>
      <c r="Q6" s="167"/>
      <c r="R6" s="168"/>
      <c r="S6" s="19"/>
      <c r="T6" s="19"/>
      <c r="U6" s="19"/>
      <c r="V6" s="19"/>
    </row>
    <row r="7" spans="1:25" ht="16.5" outlineLevel="1" x14ac:dyDescent="0.25">
      <c r="A7" s="1110"/>
      <c r="B7" s="1077"/>
      <c r="C7" s="169" t="s">
        <v>34</v>
      </c>
      <c r="D7" s="169">
        <v>2032896.92</v>
      </c>
      <c r="E7" s="988"/>
      <c r="F7" s="988"/>
      <c r="G7" s="170">
        <v>2032843.94</v>
      </c>
      <c r="H7" s="171">
        <v>42690</v>
      </c>
      <c r="I7" s="172"/>
      <c r="J7" s="173"/>
      <c r="K7" s="173"/>
      <c r="L7" s="171"/>
      <c r="M7" s="173"/>
      <c r="N7" s="174">
        <v>0.15</v>
      </c>
      <c r="O7" s="175"/>
      <c r="P7" s="176">
        <v>2017</v>
      </c>
      <c r="Q7" s="177"/>
      <c r="R7" s="132"/>
    </row>
    <row r="8" spans="1:25" ht="16.5" outlineLevel="1" x14ac:dyDescent="0.25">
      <c r="A8" s="1110"/>
      <c r="B8" s="1077"/>
      <c r="C8" s="169" t="s">
        <v>35</v>
      </c>
      <c r="D8" s="169">
        <v>207262.28</v>
      </c>
      <c r="E8" s="988"/>
      <c r="F8" s="988"/>
      <c r="G8" s="170">
        <v>207256.88</v>
      </c>
      <c r="H8" s="171">
        <v>42690</v>
      </c>
      <c r="I8" s="172"/>
      <c r="J8" s="173"/>
      <c r="K8" s="173"/>
      <c r="L8" s="171"/>
      <c r="M8" s="173"/>
      <c r="N8" s="178">
        <v>0.15</v>
      </c>
      <c r="O8" s="175"/>
      <c r="P8" s="176">
        <v>2017</v>
      </c>
      <c r="Q8" s="177"/>
      <c r="R8" s="132"/>
    </row>
    <row r="9" spans="1:25" ht="16.5" outlineLevel="1" x14ac:dyDescent="0.25">
      <c r="A9" s="1110"/>
      <c r="B9" s="1077"/>
      <c r="C9" s="169" t="s">
        <v>36</v>
      </c>
      <c r="D9" s="169">
        <v>197356.18</v>
      </c>
      <c r="E9" s="989"/>
      <c r="F9" s="989"/>
      <c r="G9" s="170">
        <v>197351.04000000001</v>
      </c>
      <c r="H9" s="179">
        <v>42690</v>
      </c>
      <c r="I9" s="172"/>
      <c r="J9" s="173"/>
      <c r="K9" s="173"/>
      <c r="L9" s="171"/>
      <c r="M9" s="173"/>
      <c r="N9" s="174">
        <v>0.15</v>
      </c>
      <c r="O9" s="175"/>
      <c r="P9" s="176">
        <v>2017</v>
      </c>
      <c r="Q9" s="177"/>
      <c r="R9" s="132"/>
    </row>
    <row r="10" spans="1:25" ht="49.5" outlineLevel="1" x14ac:dyDescent="0.25">
      <c r="A10" s="1110"/>
      <c r="B10" s="1077"/>
      <c r="C10" s="180" t="s">
        <v>37</v>
      </c>
      <c r="D10" s="180">
        <f>145367.53*1.18</f>
        <v>171533.68539999999</v>
      </c>
      <c r="E10" s="181" t="s">
        <v>549</v>
      </c>
      <c r="F10" s="181" t="s">
        <v>534</v>
      </c>
      <c r="G10" s="182">
        <v>171533.69</v>
      </c>
      <c r="H10" s="183">
        <v>42388</v>
      </c>
      <c r="I10" s="183">
        <v>42350</v>
      </c>
      <c r="J10" s="184">
        <v>171533.69</v>
      </c>
      <c r="K10" s="184">
        <v>171533.69</v>
      </c>
      <c r="L10" s="183"/>
      <c r="M10" s="184">
        <f>J10-D10</f>
        <v>4.6000000147614628E-3</v>
      </c>
      <c r="N10" s="185"/>
      <c r="O10" s="186" t="s">
        <v>673</v>
      </c>
      <c r="P10" s="176"/>
      <c r="Q10" s="177"/>
      <c r="R10" s="132"/>
    </row>
    <row r="11" spans="1:25" s="5" customFormat="1" ht="17.25" outlineLevel="1" thickBot="1" x14ac:dyDescent="0.3">
      <c r="A11" s="1105" t="s">
        <v>628</v>
      </c>
      <c r="B11" s="1106"/>
      <c r="C11" s="187"/>
      <c r="D11" s="187">
        <f>SUM(D6:D10)</f>
        <v>3113553.3454</v>
      </c>
      <c r="E11" s="188"/>
      <c r="F11" s="188"/>
      <c r="G11" s="189">
        <f>SUM(G6:G10)</f>
        <v>3113476.6799999997</v>
      </c>
      <c r="H11" s="188"/>
      <c r="I11" s="190"/>
      <c r="J11" s="191">
        <f>SUM(J6:J10)</f>
        <v>615531</v>
      </c>
      <c r="K11" s="191">
        <f>SUM(K6:K10)</f>
        <v>615531</v>
      </c>
      <c r="L11" s="192"/>
      <c r="M11" s="191"/>
      <c r="N11" s="193">
        <f>AVERAGE(N6:N10)</f>
        <v>0.15</v>
      </c>
      <c r="O11" s="194"/>
      <c r="P11" s="195"/>
      <c r="Q11" s="196"/>
      <c r="R11" s="168"/>
      <c r="S11" s="19"/>
      <c r="T11" s="19"/>
      <c r="U11" s="19"/>
      <c r="V11" s="19"/>
    </row>
    <row r="12" spans="1:25" s="5" customFormat="1" ht="33" x14ac:dyDescent="0.25">
      <c r="A12" s="1109">
        <v>2</v>
      </c>
      <c r="B12" s="1115" t="s">
        <v>50</v>
      </c>
      <c r="C12" s="159" t="s">
        <v>500</v>
      </c>
      <c r="D12" s="159">
        <v>4420069.47</v>
      </c>
      <c r="E12" s="197" t="s">
        <v>913</v>
      </c>
      <c r="F12" s="197" t="s">
        <v>914</v>
      </c>
      <c r="G12" s="160">
        <v>5038745.1900000004</v>
      </c>
      <c r="H12" s="161">
        <v>42581</v>
      </c>
      <c r="I12" s="161">
        <v>42646</v>
      </c>
      <c r="J12" s="162">
        <v>4420069.47</v>
      </c>
      <c r="K12" s="162">
        <v>4420069.47</v>
      </c>
      <c r="L12" s="198"/>
      <c r="M12" s="199"/>
      <c r="N12" s="200">
        <v>1</v>
      </c>
      <c r="O12" s="165"/>
      <c r="P12" s="166"/>
      <c r="Q12" s="201" t="s">
        <v>1116</v>
      </c>
      <c r="R12" s="168"/>
      <c r="S12" s="19"/>
      <c r="T12" s="19"/>
      <c r="U12" s="19"/>
      <c r="V12" s="19"/>
    </row>
    <row r="13" spans="1:25" ht="49.5" outlineLevel="1" x14ac:dyDescent="0.25">
      <c r="A13" s="1110"/>
      <c r="B13" s="1077"/>
      <c r="C13" s="180" t="s">
        <v>37</v>
      </c>
      <c r="D13" s="180">
        <f>99156.15*1.18</f>
        <v>117004.25699999998</v>
      </c>
      <c r="E13" s="181" t="s">
        <v>556</v>
      </c>
      <c r="F13" s="181" t="s">
        <v>534</v>
      </c>
      <c r="G13" s="182">
        <v>117004.26</v>
      </c>
      <c r="H13" s="183">
        <v>42429</v>
      </c>
      <c r="I13" s="183">
        <v>42429</v>
      </c>
      <c r="J13" s="184">
        <v>117004.26</v>
      </c>
      <c r="K13" s="184">
        <v>117004.26000000001</v>
      </c>
      <c r="L13" s="183"/>
      <c r="M13" s="184">
        <f>J13-D13</f>
        <v>3.0000000115251169E-3</v>
      </c>
      <c r="N13" s="202"/>
      <c r="O13" s="186" t="s">
        <v>674</v>
      </c>
      <c r="P13" s="176"/>
      <c r="Q13" s="177"/>
      <c r="R13" s="132"/>
    </row>
    <row r="14" spans="1:25" s="5" customFormat="1" ht="17.25" outlineLevel="1" thickBot="1" x14ac:dyDescent="0.3">
      <c r="A14" s="1105" t="s">
        <v>628</v>
      </c>
      <c r="B14" s="1106"/>
      <c r="C14" s="187"/>
      <c r="D14" s="187">
        <f>SUM(D12:D13)</f>
        <v>4537073.727</v>
      </c>
      <c r="E14" s="188"/>
      <c r="F14" s="188"/>
      <c r="G14" s="189">
        <f>SUM(G12:G13)</f>
        <v>5155749.45</v>
      </c>
      <c r="H14" s="188"/>
      <c r="I14" s="203"/>
      <c r="J14" s="187">
        <f>SUM(J12:J13)</f>
        <v>4537073.7299999995</v>
      </c>
      <c r="K14" s="187">
        <f>SUM(K12:K13)</f>
        <v>4537073.7299999995</v>
      </c>
      <c r="L14" s="204"/>
      <c r="M14" s="187"/>
      <c r="N14" s="205">
        <f>AVERAGE(N12:N13)</f>
        <v>1</v>
      </c>
      <c r="O14" s="194"/>
      <c r="P14" s="195"/>
      <c r="Q14" s="196"/>
      <c r="R14" s="168"/>
      <c r="S14" s="19"/>
      <c r="T14" s="19"/>
      <c r="U14" s="19"/>
      <c r="V14" s="19"/>
    </row>
    <row r="15" spans="1:25" s="5" customFormat="1" ht="36" customHeight="1" x14ac:dyDescent="0.25">
      <c r="A15" s="1109">
        <v>3</v>
      </c>
      <c r="B15" s="1115" t="s">
        <v>20</v>
      </c>
      <c r="C15" s="159" t="s">
        <v>38</v>
      </c>
      <c r="D15" s="159">
        <v>752487.18</v>
      </c>
      <c r="E15" s="984" t="s">
        <v>1266</v>
      </c>
      <c r="F15" s="984" t="s">
        <v>770</v>
      </c>
      <c r="G15" s="160">
        <v>752040.29</v>
      </c>
      <c r="H15" s="206">
        <v>42729</v>
      </c>
      <c r="I15" s="161">
        <v>42719</v>
      </c>
      <c r="J15" s="162">
        <v>737294.34</v>
      </c>
      <c r="K15" s="162">
        <v>737294.34</v>
      </c>
      <c r="L15" s="198"/>
      <c r="M15" s="199"/>
      <c r="N15" s="207">
        <v>0.15</v>
      </c>
      <c r="O15" s="165"/>
      <c r="P15" s="166">
        <v>2017</v>
      </c>
      <c r="Q15" s="167"/>
      <c r="R15" s="168"/>
      <c r="S15" s="19"/>
      <c r="T15" s="19"/>
      <c r="U15" s="19"/>
      <c r="V15" s="19"/>
    </row>
    <row r="16" spans="1:25" ht="30" customHeight="1" outlineLevel="1" x14ac:dyDescent="0.25">
      <c r="A16" s="1110"/>
      <c r="B16" s="1077"/>
      <c r="C16" s="208" t="s">
        <v>35</v>
      </c>
      <c r="D16" s="208">
        <v>562501.28</v>
      </c>
      <c r="E16" s="985"/>
      <c r="F16" s="985"/>
      <c r="G16" s="209">
        <v>562167.22</v>
      </c>
      <c r="H16" s="210">
        <v>42729</v>
      </c>
      <c r="I16" s="210">
        <v>42719</v>
      </c>
      <c r="J16" s="163">
        <v>551144.31000000006</v>
      </c>
      <c r="K16" s="163">
        <v>551144.31000000006</v>
      </c>
      <c r="L16" s="210"/>
      <c r="M16" s="163"/>
      <c r="N16" s="211">
        <v>0.15</v>
      </c>
      <c r="O16" s="175"/>
      <c r="P16" s="176">
        <v>2017</v>
      </c>
      <c r="Q16" s="177"/>
      <c r="R16" s="132"/>
    </row>
    <row r="17" spans="1:22" ht="30" customHeight="1" outlineLevel="1" x14ac:dyDescent="0.25">
      <c r="A17" s="1110"/>
      <c r="B17" s="1077"/>
      <c r="C17" s="208" t="s">
        <v>36</v>
      </c>
      <c r="D17" s="208">
        <v>378329.24</v>
      </c>
      <c r="E17" s="986"/>
      <c r="F17" s="986"/>
      <c r="G17" s="209">
        <v>378104.56</v>
      </c>
      <c r="H17" s="212">
        <v>42729</v>
      </c>
      <c r="I17" s="212">
        <v>42719</v>
      </c>
      <c r="J17" s="163">
        <v>359662.68</v>
      </c>
      <c r="K17" s="163">
        <v>359662.68</v>
      </c>
      <c r="L17" s="210"/>
      <c r="M17" s="163"/>
      <c r="N17" s="213">
        <v>0.15</v>
      </c>
      <c r="O17" s="175"/>
      <c r="P17" s="176">
        <v>2017</v>
      </c>
      <c r="Q17" s="177"/>
      <c r="R17" s="132"/>
    </row>
    <row r="18" spans="1:22" ht="49.5" outlineLevel="1" x14ac:dyDescent="0.25">
      <c r="A18" s="1110"/>
      <c r="B18" s="1077"/>
      <c r="C18" s="180" t="s">
        <v>37</v>
      </c>
      <c r="D18" s="180">
        <f>112258.8*1.18</f>
        <v>132465.38399999999</v>
      </c>
      <c r="E18" s="181" t="s">
        <v>549</v>
      </c>
      <c r="F18" s="181" t="s">
        <v>534</v>
      </c>
      <c r="G18" s="182">
        <v>132465.38</v>
      </c>
      <c r="H18" s="183">
        <v>42388</v>
      </c>
      <c r="I18" s="183">
        <v>42350</v>
      </c>
      <c r="J18" s="184">
        <v>132465.38</v>
      </c>
      <c r="K18" s="184">
        <v>132465.38</v>
      </c>
      <c r="L18" s="183"/>
      <c r="M18" s="184">
        <f>J18-D18</f>
        <v>-3.999999986262992E-3</v>
      </c>
      <c r="N18" s="185"/>
      <c r="O18" s="186" t="s">
        <v>674</v>
      </c>
      <c r="P18" s="176"/>
      <c r="Q18" s="177"/>
      <c r="R18" s="132"/>
    </row>
    <row r="19" spans="1:22" s="5" customFormat="1" ht="17.25" outlineLevel="1" thickBot="1" x14ac:dyDescent="0.3">
      <c r="A19" s="1116" t="s">
        <v>628</v>
      </c>
      <c r="B19" s="1117"/>
      <c r="C19" s="214"/>
      <c r="D19" s="214">
        <f>SUM(D15:D18)</f>
        <v>1825783.084</v>
      </c>
      <c r="E19" s="215"/>
      <c r="F19" s="215"/>
      <c r="G19" s="216">
        <f>SUM(G15:G18)</f>
        <v>1824777.4500000002</v>
      </c>
      <c r="H19" s="215"/>
      <c r="I19" s="217"/>
      <c r="J19" s="214">
        <f>SUM(J15:J18)</f>
        <v>1780566.71</v>
      </c>
      <c r="K19" s="214">
        <f>SUM(K15:K18)</f>
        <v>1780566.71</v>
      </c>
      <c r="L19" s="218"/>
      <c r="M19" s="214"/>
      <c r="N19" s="193">
        <f>AVERAGE(N15:N18)</f>
        <v>0.15</v>
      </c>
      <c r="O19" s="219"/>
      <c r="P19" s="195"/>
      <c r="Q19" s="196"/>
      <c r="R19" s="168"/>
      <c r="S19" s="19"/>
      <c r="T19" s="19"/>
      <c r="U19" s="19"/>
      <c r="V19" s="19"/>
    </row>
    <row r="20" spans="1:22" s="5" customFormat="1" ht="16.5" x14ac:dyDescent="0.25">
      <c r="A20" s="1109">
        <v>4</v>
      </c>
      <c r="B20" s="1115" t="s">
        <v>21</v>
      </c>
      <c r="C20" s="220" t="s">
        <v>38</v>
      </c>
      <c r="D20" s="221">
        <v>752559.16</v>
      </c>
      <c r="E20" s="987" t="s">
        <v>1266</v>
      </c>
      <c r="F20" s="987" t="s">
        <v>770</v>
      </c>
      <c r="G20" s="222">
        <v>752112.23</v>
      </c>
      <c r="H20" s="223">
        <v>42729</v>
      </c>
      <c r="I20" s="224"/>
      <c r="J20" s="225"/>
      <c r="K20" s="225"/>
      <c r="L20" s="226"/>
      <c r="M20" s="225"/>
      <c r="N20" s="164">
        <v>0.15</v>
      </c>
      <c r="O20" s="227"/>
      <c r="P20" s="166">
        <v>2017</v>
      </c>
      <c r="Q20" s="167"/>
      <c r="R20" s="168"/>
      <c r="S20" s="19"/>
      <c r="T20" s="19"/>
      <c r="U20" s="19"/>
      <c r="V20" s="19"/>
    </row>
    <row r="21" spans="1:22" ht="16.5" outlineLevel="1" x14ac:dyDescent="0.25">
      <c r="A21" s="1110"/>
      <c r="B21" s="1077"/>
      <c r="C21" s="169" t="s">
        <v>34</v>
      </c>
      <c r="D21" s="169">
        <v>4019980.34</v>
      </c>
      <c r="E21" s="988"/>
      <c r="F21" s="988"/>
      <c r="G21" s="170">
        <v>4017592.95</v>
      </c>
      <c r="H21" s="171">
        <v>42729</v>
      </c>
      <c r="I21" s="172"/>
      <c r="J21" s="173"/>
      <c r="K21" s="173"/>
      <c r="L21" s="171"/>
      <c r="M21" s="173"/>
      <c r="N21" s="174">
        <v>0.15</v>
      </c>
      <c r="O21" s="175"/>
      <c r="P21" s="176">
        <v>2017</v>
      </c>
      <c r="Q21" s="177"/>
      <c r="R21" s="132"/>
    </row>
    <row r="22" spans="1:22" ht="16.5" outlineLevel="1" x14ac:dyDescent="0.25">
      <c r="A22" s="1110"/>
      <c r="B22" s="1077"/>
      <c r="C22" s="169" t="s">
        <v>35</v>
      </c>
      <c r="D22" s="169">
        <v>562501.28</v>
      </c>
      <c r="E22" s="988"/>
      <c r="F22" s="988"/>
      <c r="G22" s="170">
        <v>562167.22</v>
      </c>
      <c r="H22" s="171">
        <v>42729</v>
      </c>
      <c r="I22" s="172"/>
      <c r="J22" s="173"/>
      <c r="K22" s="173"/>
      <c r="L22" s="171"/>
      <c r="M22" s="173"/>
      <c r="N22" s="228">
        <v>0.15</v>
      </c>
      <c r="O22" s="175"/>
      <c r="P22" s="176">
        <v>2017</v>
      </c>
      <c r="Q22" s="177"/>
      <c r="R22" s="132"/>
    </row>
    <row r="23" spans="1:22" ht="16.5" outlineLevel="1" x14ac:dyDescent="0.25">
      <c r="A23" s="1110"/>
      <c r="B23" s="1077"/>
      <c r="C23" s="169" t="s">
        <v>36</v>
      </c>
      <c r="D23" s="169">
        <v>369462.72</v>
      </c>
      <c r="E23" s="989"/>
      <c r="F23" s="989"/>
      <c r="G23" s="170">
        <v>369243.3</v>
      </c>
      <c r="H23" s="179">
        <v>42729</v>
      </c>
      <c r="I23" s="172"/>
      <c r="J23" s="173"/>
      <c r="K23" s="173"/>
      <c r="L23" s="171"/>
      <c r="M23" s="173"/>
      <c r="N23" s="229">
        <v>0.15</v>
      </c>
      <c r="O23" s="175"/>
      <c r="P23" s="176">
        <v>2017</v>
      </c>
      <c r="Q23" s="177"/>
      <c r="R23" s="132"/>
    </row>
    <row r="24" spans="1:22" ht="49.5" outlineLevel="1" x14ac:dyDescent="0.25">
      <c r="A24" s="1110"/>
      <c r="B24" s="1077"/>
      <c r="C24" s="180" t="s">
        <v>37</v>
      </c>
      <c r="D24" s="180">
        <f>147524.3*1.18</f>
        <v>174078.67399999997</v>
      </c>
      <c r="E24" s="181" t="s">
        <v>549</v>
      </c>
      <c r="F24" s="181" t="s">
        <v>534</v>
      </c>
      <c r="G24" s="230">
        <v>174078.67</v>
      </c>
      <c r="H24" s="183">
        <v>42388</v>
      </c>
      <c r="I24" s="183">
        <v>42350</v>
      </c>
      <c r="J24" s="184">
        <v>174078.67000000004</v>
      </c>
      <c r="K24" s="184">
        <v>174078.67</v>
      </c>
      <c r="L24" s="183"/>
      <c r="M24" s="184">
        <f>J24-D24</f>
        <v>-3.9999999280553311E-3</v>
      </c>
      <c r="N24" s="202"/>
      <c r="O24" s="186" t="s">
        <v>674</v>
      </c>
      <c r="P24" s="176"/>
      <c r="Q24" s="177"/>
      <c r="R24" s="132"/>
    </row>
    <row r="25" spans="1:22" s="5" customFormat="1" ht="17.25" outlineLevel="1" thickBot="1" x14ac:dyDescent="0.3">
      <c r="A25" s="1105" t="s">
        <v>628</v>
      </c>
      <c r="B25" s="1106"/>
      <c r="C25" s="187"/>
      <c r="D25" s="187">
        <f>SUM(D20:D24)</f>
        <v>5878582.1739999996</v>
      </c>
      <c r="E25" s="188"/>
      <c r="F25" s="188"/>
      <c r="G25" s="189">
        <f>SUM(G20:G24)</f>
        <v>5875194.3699999992</v>
      </c>
      <c r="H25" s="188"/>
      <c r="I25" s="203"/>
      <c r="J25" s="187">
        <f>SUM(J20:J24)</f>
        <v>174078.67000000004</v>
      </c>
      <c r="K25" s="187">
        <f>SUM(K20:K24)</f>
        <v>174078.67</v>
      </c>
      <c r="L25" s="204"/>
      <c r="M25" s="187"/>
      <c r="N25" s="231">
        <f>AVERAGE(N20:N24)</f>
        <v>0.15</v>
      </c>
      <c r="O25" s="194"/>
      <c r="P25" s="195"/>
      <c r="Q25" s="196"/>
      <c r="R25" s="168"/>
      <c r="S25" s="19"/>
      <c r="T25" s="19"/>
      <c r="U25" s="19"/>
      <c r="V25" s="19"/>
    </row>
    <row r="26" spans="1:22" s="5" customFormat="1" ht="33" x14ac:dyDescent="0.25">
      <c r="A26" s="1109">
        <v>5</v>
      </c>
      <c r="B26" s="1115" t="s">
        <v>55</v>
      </c>
      <c r="C26" s="159" t="s">
        <v>500</v>
      </c>
      <c r="D26" s="159">
        <v>6374292.1600000001</v>
      </c>
      <c r="E26" s="197" t="s">
        <v>913</v>
      </c>
      <c r="F26" s="197" t="s">
        <v>914</v>
      </c>
      <c r="G26" s="160">
        <v>7271964.3300000001</v>
      </c>
      <c r="H26" s="161">
        <v>42581</v>
      </c>
      <c r="I26" s="161">
        <v>42646</v>
      </c>
      <c r="J26" s="162">
        <v>6374292.1600000001</v>
      </c>
      <c r="K26" s="162">
        <v>6374292.1600000001</v>
      </c>
      <c r="L26" s="198"/>
      <c r="M26" s="199"/>
      <c r="N26" s="200">
        <v>1</v>
      </c>
      <c r="O26" s="165"/>
      <c r="P26" s="166"/>
      <c r="Q26" s="201" t="s">
        <v>1116</v>
      </c>
      <c r="R26" s="168"/>
      <c r="S26" s="19"/>
      <c r="T26" s="19"/>
      <c r="U26" s="19"/>
      <c r="V26" s="19"/>
    </row>
    <row r="27" spans="1:22" ht="49.5" outlineLevel="1" x14ac:dyDescent="0.25">
      <c r="A27" s="1110"/>
      <c r="B27" s="1077"/>
      <c r="C27" s="180" t="s">
        <v>37</v>
      </c>
      <c r="D27" s="180">
        <f>105867.06*1.18</f>
        <v>124923.13079999998</v>
      </c>
      <c r="E27" s="181" t="s">
        <v>556</v>
      </c>
      <c r="F27" s="181" t="s">
        <v>534</v>
      </c>
      <c r="G27" s="230">
        <v>124923.13</v>
      </c>
      <c r="H27" s="183">
        <v>42429</v>
      </c>
      <c r="I27" s="183">
        <v>42429</v>
      </c>
      <c r="J27" s="184">
        <v>124923.13</v>
      </c>
      <c r="K27" s="184">
        <v>124923.13</v>
      </c>
      <c r="L27" s="183"/>
      <c r="M27" s="184">
        <f>J27-D27</f>
        <v>-7.9999997979030013E-4</v>
      </c>
      <c r="N27" s="185"/>
      <c r="O27" s="186" t="s">
        <v>674</v>
      </c>
      <c r="P27" s="176"/>
      <c r="Q27" s="177"/>
      <c r="R27" s="132"/>
    </row>
    <row r="28" spans="1:22" s="5" customFormat="1" ht="17.25" outlineLevel="1" thickBot="1" x14ac:dyDescent="0.3">
      <c r="A28" s="1116" t="s">
        <v>628</v>
      </c>
      <c r="B28" s="1117"/>
      <c r="C28" s="214"/>
      <c r="D28" s="214">
        <f>SUM(D26:D27)</f>
        <v>6499215.2908000005</v>
      </c>
      <c r="E28" s="215"/>
      <c r="F28" s="215"/>
      <c r="G28" s="216">
        <f>SUM(G26:G27)</f>
        <v>7396887.46</v>
      </c>
      <c r="H28" s="215"/>
      <c r="I28" s="217"/>
      <c r="J28" s="214">
        <f>SUM(J26:J27)</f>
        <v>6499215.29</v>
      </c>
      <c r="K28" s="214">
        <f>SUM(K26:K27)</f>
        <v>6499215.29</v>
      </c>
      <c r="L28" s="218"/>
      <c r="M28" s="214"/>
      <c r="N28" s="193">
        <f>AVERAGE(N26:N27)</f>
        <v>1</v>
      </c>
      <c r="O28" s="219"/>
      <c r="P28" s="195"/>
      <c r="Q28" s="196"/>
      <c r="R28" s="168"/>
      <c r="S28" s="19"/>
      <c r="T28" s="19"/>
      <c r="U28" s="19"/>
      <c r="V28" s="19"/>
    </row>
    <row r="29" spans="1:22" s="69" customFormat="1" ht="33" x14ac:dyDescent="0.25">
      <c r="A29" s="1109">
        <v>6</v>
      </c>
      <c r="B29" s="1115" t="s">
        <v>496</v>
      </c>
      <c r="C29" s="159" t="s">
        <v>500</v>
      </c>
      <c r="D29" s="159">
        <v>6600000</v>
      </c>
      <c r="E29" s="197" t="s">
        <v>1108</v>
      </c>
      <c r="F29" s="197" t="s">
        <v>770</v>
      </c>
      <c r="G29" s="160">
        <v>6600000</v>
      </c>
      <c r="H29" s="161">
        <v>42676</v>
      </c>
      <c r="I29" s="161">
        <v>42709</v>
      </c>
      <c r="J29" s="162">
        <v>6470588.5499999998</v>
      </c>
      <c r="K29" s="162">
        <v>6470588.5500000007</v>
      </c>
      <c r="L29" s="198"/>
      <c r="M29" s="199"/>
      <c r="N29" s="232">
        <v>0.45</v>
      </c>
      <c r="O29" s="233"/>
      <c r="P29" s="234"/>
      <c r="Q29" s="235"/>
      <c r="R29" s="236"/>
      <c r="S29" s="68"/>
      <c r="T29" s="68"/>
      <c r="U29" s="68"/>
      <c r="V29" s="68"/>
    </row>
    <row r="30" spans="1:22" ht="49.5" outlineLevel="1" x14ac:dyDescent="0.25">
      <c r="A30" s="1110"/>
      <c r="B30" s="1077"/>
      <c r="C30" s="180" t="s">
        <v>37</v>
      </c>
      <c r="D30" s="180">
        <f>83749.26*1.18</f>
        <v>98824.126799999984</v>
      </c>
      <c r="E30" s="181" t="s">
        <v>556</v>
      </c>
      <c r="F30" s="181" t="s">
        <v>534</v>
      </c>
      <c r="G30" s="230">
        <v>98824.13</v>
      </c>
      <c r="H30" s="183">
        <v>42429</v>
      </c>
      <c r="I30" s="183">
        <v>42429</v>
      </c>
      <c r="J30" s="184">
        <v>98824.13</v>
      </c>
      <c r="K30" s="184">
        <v>98824.13</v>
      </c>
      <c r="L30" s="183"/>
      <c r="M30" s="184">
        <f>J30-D30</f>
        <v>3.2000000210246071E-3</v>
      </c>
      <c r="N30" s="237"/>
      <c r="O30" s="186" t="s">
        <v>904</v>
      </c>
      <c r="P30" s="176"/>
      <c r="Q30" s="177"/>
      <c r="R30" s="132"/>
    </row>
    <row r="31" spans="1:22" ht="17.25" outlineLevel="1" thickBot="1" x14ac:dyDescent="0.3">
      <c r="A31" s="1105" t="s">
        <v>628</v>
      </c>
      <c r="B31" s="1106"/>
      <c r="C31" s="238"/>
      <c r="D31" s="187">
        <f>SUM(D29:D30)</f>
        <v>6698824.1267999997</v>
      </c>
      <c r="E31" s="239"/>
      <c r="F31" s="239"/>
      <c r="G31" s="189">
        <f>SUM(G29:G30)</f>
        <v>6698824.1299999999</v>
      </c>
      <c r="H31" s="239"/>
      <c r="I31" s="203"/>
      <c r="J31" s="187">
        <f>SUM(J29:J30)</f>
        <v>6569412.6799999997</v>
      </c>
      <c r="K31" s="187">
        <f>SUM(K29:K30)</f>
        <v>6569412.6800000006</v>
      </c>
      <c r="L31" s="204"/>
      <c r="M31" s="187"/>
      <c r="N31" s="193">
        <f>AVERAGE(N29:N30)</f>
        <v>0.45</v>
      </c>
      <c r="O31" s="240"/>
      <c r="P31" s="241"/>
      <c r="Q31" s="242"/>
      <c r="R31" s="132"/>
    </row>
    <row r="32" spans="1:22" s="5" customFormat="1" ht="28.5" customHeight="1" x14ac:dyDescent="0.25">
      <c r="A32" s="1109">
        <v>7</v>
      </c>
      <c r="B32" s="1115" t="s">
        <v>56</v>
      </c>
      <c r="C32" s="243" t="s">
        <v>500</v>
      </c>
      <c r="D32" s="243">
        <v>4964766.22</v>
      </c>
      <c r="E32" s="220" t="s">
        <v>1194</v>
      </c>
      <c r="F32" s="220" t="s">
        <v>914</v>
      </c>
      <c r="G32" s="244">
        <v>4964636.84</v>
      </c>
      <c r="H32" s="223">
        <v>42729</v>
      </c>
      <c r="I32" s="224"/>
      <c r="J32" s="225"/>
      <c r="K32" s="225"/>
      <c r="L32" s="226"/>
      <c r="M32" s="225"/>
      <c r="N32" s="164">
        <v>0.15</v>
      </c>
      <c r="O32" s="165"/>
      <c r="P32" s="166">
        <v>2017</v>
      </c>
      <c r="Q32" s="167"/>
      <c r="R32" s="168"/>
      <c r="S32" s="19"/>
      <c r="T32" s="19"/>
      <c r="U32" s="19"/>
      <c r="V32" s="19"/>
    </row>
    <row r="33" spans="1:22" ht="49.5" outlineLevel="1" x14ac:dyDescent="0.25">
      <c r="A33" s="1110"/>
      <c r="B33" s="1077"/>
      <c r="C33" s="180" t="s">
        <v>37</v>
      </c>
      <c r="D33" s="180">
        <f>101856.87*1.18</f>
        <v>120191.10659999998</v>
      </c>
      <c r="E33" s="181" t="s">
        <v>556</v>
      </c>
      <c r="F33" s="181" t="s">
        <v>534</v>
      </c>
      <c r="G33" s="230">
        <v>120191.11</v>
      </c>
      <c r="H33" s="183">
        <v>42429</v>
      </c>
      <c r="I33" s="183">
        <v>42429</v>
      </c>
      <c r="J33" s="184">
        <v>120191.11</v>
      </c>
      <c r="K33" s="184">
        <v>120191.11</v>
      </c>
      <c r="L33" s="183"/>
      <c r="M33" s="184">
        <f>J33-D33</f>
        <v>3.4000000159721822E-3</v>
      </c>
      <c r="N33" s="185"/>
      <c r="O33" s="186" t="s">
        <v>674</v>
      </c>
      <c r="P33" s="176"/>
      <c r="Q33" s="177"/>
      <c r="R33" s="132"/>
    </row>
    <row r="34" spans="1:22" ht="17.25" outlineLevel="1" thickBot="1" x14ac:dyDescent="0.3">
      <c r="A34" s="1105" t="s">
        <v>628</v>
      </c>
      <c r="B34" s="1106"/>
      <c r="C34" s="238"/>
      <c r="D34" s="187">
        <f>SUM(D32:D33)</f>
        <v>5084957.3265999993</v>
      </c>
      <c r="E34" s="239"/>
      <c r="F34" s="239"/>
      <c r="G34" s="189">
        <f>SUM(G32:G33)</f>
        <v>5084827.95</v>
      </c>
      <c r="H34" s="239"/>
      <c r="I34" s="203"/>
      <c r="J34" s="187">
        <f>SUM(J32:J33)</f>
        <v>120191.11</v>
      </c>
      <c r="K34" s="187">
        <f>SUM(K32:K33)</f>
        <v>120191.11</v>
      </c>
      <c r="L34" s="204"/>
      <c r="M34" s="187"/>
      <c r="N34" s="193">
        <f>AVERAGE(N32:N33)</f>
        <v>0.15</v>
      </c>
      <c r="O34" s="240"/>
      <c r="P34" s="195"/>
      <c r="Q34" s="196"/>
      <c r="R34" s="132"/>
    </row>
    <row r="35" spans="1:22" s="5" customFormat="1" ht="33" x14ac:dyDescent="0.25">
      <c r="A35" s="1109">
        <v>8</v>
      </c>
      <c r="B35" s="1115" t="s">
        <v>497</v>
      </c>
      <c r="C35" s="159" t="s">
        <v>500</v>
      </c>
      <c r="D35" s="159">
        <v>4077823.64</v>
      </c>
      <c r="E35" s="197" t="s">
        <v>913</v>
      </c>
      <c r="F35" s="197" t="s">
        <v>914</v>
      </c>
      <c r="G35" s="160">
        <v>4639857.32</v>
      </c>
      <c r="H35" s="161">
        <v>42581</v>
      </c>
      <c r="I35" s="161">
        <v>42653</v>
      </c>
      <c r="J35" s="162">
        <v>4077823.64</v>
      </c>
      <c r="K35" s="162">
        <v>4077823.64</v>
      </c>
      <c r="L35" s="198"/>
      <c r="M35" s="199"/>
      <c r="N35" s="207">
        <v>1</v>
      </c>
      <c r="O35" s="165"/>
      <c r="P35" s="245"/>
      <c r="Q35" s="201" t="s">
        <v>1116</v>
      </c>
      <c r="R35" s="168"/>
      <c r="S35" s="19"/>
      <c r="T35" s="19"/>
      <c r="U35" s="19"/>
      <c r="V35" s="19"/>
    </row>
    <row r="36" spans="1:22" ht="49.5" outlineLevel="1" x14ac:dyDescent="0.25">
      <c r="A36" s="1110"/>
      <c r="B36" s="1077"/>
      <c r="C36" s="180" t="s">
        <v>37</v>
      </c>
      <c r="D36" s="180">
        <f>89881.41*1.18</f>
        <v>106060.0638</v>
      </c>
      <c r="E36" s="181" t="s">
        <v>556</v>
      </c>
      <c r="F36" s="181" t="s">
        <v>534</v>
      </c>
      <c r="G36" s="230">
        <v>106060.06</v>
      </c>
      <c r="H36" s="183">
        <v>42429</v>
      </c>
      <c r="I36" s="183">
        <v>42429</v>
      </c>
      <c r="J36" s="184">
        <v>106060.06</v>
      </c>
      <c r="K36" s="184">
        <v>106060.06</v>
      </c>
      <c r="L36" s="183"/>
      <c r="M36" s="184">
        <f>J36-D36</f>
        <v>-3.8000000058673322E-3</v>
      </c>
      <c r="N36" s="237"/>
      <c r="O36" s="186" t="s">
        <v>904</v>
      </c>
      <c r="P36" s="176"/>
      <c r="Q36" s="177"/>
      <c r="R36" s="132"/>
    </row>
    <row r="37" spans="1:22" ht="17.25" outlineLevel="1" thickBot="1" x14ac:dyDescent="0.3">
      <c r="A37" s="1116" t="s">
        <v>628</v>
      </c>
      <c r="B37" s="1117"/>
      <c r="C37" s="246"/>
      <c r="D37" s="214">
        <f>SUM(D35:D36)</f>
        <v>4183883.7038000003</v>
      </c>
      <c r="E37" s="247"/>
      <c r="F37" s="247"/>
      <c r="G37" s="216">
        <f>SUM(G35:G36)</f>
        <v>4745917.38</v>
      </c>
      <c r="H37" s="247"/>
      <c r="I37" s="217"/>
      <c r="J37" s="214">
        <f>SUM(J35:J36)</f>
        <v>4183883.7</v>
      </c>
      <c r="K37" s="214">
        <f>SUM(K35:K36)</f>
        <v>4183883.7</v>
      </c>
      <c r="L37" s="218"/>
      <c r="M37" s="214"/>
      <c r="N37" s="193">
        <f>AVERAGE(N35:N36)</f>
        <v>1</v>
      </c>
      <c r="O37" s="248"/>
      <c r="P37" s="241"/>
      <c r="Q37" s="242"/>
      <c r="R37" s="132"/>
    </row>
    <row r="38" spans="1:22" s="5" customFormat="1" ht="33" x14ac:dyDescent="0.25">
      <c r="A38" s="1109">
        <v>9</v>
      </c>
      <c r="B38" s="1115" t="s">
        <v>51</v>
      </c>
      <c r="C38" s="159" t="s">
        <v>500</v>
      </c>
      <c r="D38" s="159">
        <v>2301814.33</v>
      </c>
      <c r="E38" s="197" t="s">
        <v>913</v>
      </c>
      <c r="F38" s="197" t="s">
        <v>914</v>
      </c>
      <c r="G38" s="160">
        <v>2609433.16</v>
      </c>
      <c r="H38" s="161">
        <v>42581</v>
      </c>
      <c r="I38" s="161">
        <v>42653</v>
      </c>
      <c r="J38" s="162">
        <v>2301814.33</v>
      </c>
      <c r="K38" s="162">
        <v>2301814.33</v>
      </c>
      <c r="L38" s="198"/>
      <c r="M38" s="199"/>
      <c r="N38" s="200">
        <v>1</v>
      </c>
      <c r="O38" s="165"/>
      <c r="P38" s="166"/>
      <c r="Q38" s="201" t="s">
        <v>1116</v>
      </c>
      <c r="R38" s="168"/>
      <c r="S38" s="19"/>
      <c r="T38" s="19"/>
      <c r="U38" s="19"/>
      <c r="V38" s="19"/>
    </row>
    <row r="39" spans="1:22" ht="49.5" outlineLevel="1" x14ac:dyDescent="0.25">
      <c r="A39" s="1110"/>
      <c r="B39" s="1077"/>
      <c r="C39" s="180" t="s">
        <v>37</v>
      </c>
      <c r="D39" s="180">
        <f>64005.57*1.18</f>
        <v>75526.5726</v>
      </c>
      <c r="E39" s="181" t="s">
        <v>556</v>
      </c>
      <c r="F39" s="181" t="s">
        <v>534</v>
      </c>
      <c r="G39" s="230">
        <v>75526.570000000007</v>
      </c>
      <c r="H39" s="183">
        <v>42429</v>
      </c>
      <c r="I39" s="183">
        <v>42429</v>
      </c>
      <c r="J39" s="184">
        <v>75526.570000000007</v>
      </c>
      <c r="K39" s="184">
        <v>75526.569999999992</v>
      </c>
      <c r="L39" s="183"/>
      <c r="M39" s="184">
        <f>J39-D39</f>
        <v>-2.5999999925261363E-3</v>
      </c>
      <c r="N39" s="185"/>
      <c r="O39" s="186" t="s">
        <v>674</v>
      </c>
      <c r="P39" s="176"/>
      <c r="Q39" s="177"/>
      <c r="R39" s="132"/>
    </row>
    <row r="40" spans="1:22" ht="17.25" outlineLevel="1" thickBot="1" x14ac:dyDescent="0.3">
      <c r="A40" s="1116" t="s">
        <v>628</v>
      </c>
      <c r="B40" s="1117"/>
      <c r="C40" s="246"/>
      <c r="D40" s="214">
        <f>SUM(D38:D39)</f>
        <v>2377340.9026000001</v>
      </c>
      <c r="E40" s="247"/>
      <c r="F40" s="247"/>
      <c r="G40" s="216">
        <f>SUM(G38:G39)</f>
        <v>2684959.73</v>
      </c>
      <c r="H40" s="247"/>
      <c r="I40" s="217"/>
      <c r="J40" s="214">
        <f>SUM(J38:J39)</f>
        <v>2377340.9</v>
      </c>
      <c r="K40" s="214">
        <f>SUM(K38:K39)</f>
        <v>2377340.9</v>
      </c>
      <c r="L40" s="218"/>
      <c r="M40" s="214"/>
      <c r="N40" s="249">
        <f>AVERAGE(N38:N39)</f>
        <v>1</v>
      </c>
      <c r="O40" s="240"/>
      <c r="P40" s="195"/>
      <c r="Q40" s="196"/>
      <c r="R40" s="132"/>
    </row>
    <row r="41" spans="1:22" ht="30" customHeight="1" outlineLevel="1" x14ac:dyDescent="0.25">
      <c r="A41" s="1109">
        <v>10</v>
      </c>
      <c r="B41" s="1115" t="s">
        <v>1018</v>
      </c>
      <c r="C41" s="159" t="s">
        <v>35</v>
      </c>
      <c r="D41" s="162">
        <v>282144.44</v>
      </c>
      <c r="E41" s="197" t="s">
        <v>1019</v>
      </c>
      <c r="F41" s="197" t="s">
        <v>770</v>
      </c>
      <c r="G41" s="159">
        <v>414610.7</v>
      </c>
      <c r="H41" s="161">
        <v>42622</v>
      </c>
      <c r="I41" s="206">
        <v>42606</v>
      </c>
      <c r="J41" s="162">
        <v>282144.44</v>
      </c>
      <c r="K41" s="162">
        <v>282144.44</v>
      </c>
      <c r="L41" s="198"/>
      <c r="M41" s="199"/>
      <c r="N41" s="250">
        <v>1</v>
      </c>
      <c r="O41" s="251"/>
      <c r="P41" s="245"/>
      <c r="Q41" s="252"/>
      <c r="R41" s="132"/>
    </row>
    <row r="42" spans="1:22" ht="30" customHeight="1" outlineLevel="1" x14ac:dyDescent="0.25">
      <c r="A42" s="1110"/>
      <c r="B42" s="1077"/>
      <c r="C42" s="208" t="s">
        <v>36</v>
      </c>
      <c r="D42" s="208">
        <v>444760.42</v>
      </c>
      <c r="E42" s="253" t="s">
        <v>1019</v>
      </c>
      <c r="F42" s="253" t="s">
        <v>770</v>
      </c>
      <c r="G42" s="208">
        <v>529759.81999999995</v>
      </c>
      <c r="H42" s="210">
        <v>42622</v>
      </c>
      <c r="I42" s="210">
        <v>42606</v>
      </c>
      <c r="J42" s="163">
        <v>444760.42</v>
      </c>
      <c r="K42" s="163">
        <v>444760.42</v>
      </c>
      <c r="L42" s="254"/>
      <c r="M42" s="255"/>
      <c r="N42" s="256">
        <v>1</v>
      </c>
      <c r="O42" s="251"/>
      <c r="P42" s="176"/>
      <c r="Q42" s="177"/>
      <c r="R42" s="132"/>
    </row>
    <row r="43" spans="1:22" ht="30" customHeight="1" outlineLevel="1" x14ac:dyDescent="0.25">
      <c r="A43" s="1110"/>
      <c r="B43" s="1077"/>
      <c r="C43" s="208" t="s">
        <v>34</v>
      </c>
      <c r="D43" s="208">
        <v>2493228.83</v>
      </c>
      <c r="E43" s="253" t="s">
        <v>1019</v>
      </c>
      <c r="F43" s="253" t="s">
        <v>770</v>
      </c>
      <c r="G43" s="208">
        <v>2898094.16</v>
      </c>
      <c r="H43" s="210">
        <v>42622</v>
      </c>
      <c r="I43" s="257">
        <v>42606</v>
      </c>
      <c r="J43" s="163">
        <v>2493228.83</v>
      </c>
      <c r="K43" s="163">
        <v>2493228.83</v>
      </c>
      <c r="L43" s="254"/>
      <c r="M43" s="255"/>
      <c r="N43" s="256">
        <v>1</v>
      </c>
      <c r="O43" s="251"/>
      <c r="P43" s="176"/>
      <c r="Q43" s="177"/>
      <c r="R43" s="132"/>
    </row>
    <row r="44" spans="1:22" ht="33.75" outlineLevel="1" thickBot="1" x14ac:dyDescent="0.3">
      <c r="A44" s="1126"/>
      <c r="B44" s="1127"/>
      <c r="C44" s="258" t="s">
        <v>38</v>
      </c>
      <c r="D44" s="259">
        <v>445738.97</v>
      </c>
      <c r="E44" s="260" t="s">
        <v>1019</v>
      </c>
      <c r="F44" s="260" t="s">
        <v>770</v>
      </c>
      <c r="G44" s="261">
        <v>501197.92</v>
      </c>
      <c r="H44" s="262">
        <v>42622</v>
      </c>
      <c r="I44" s="262">
        <v>42606</v>
      </c>
      <c r="J44" s="263">
        <v>445738.97</v>
      </c>
      <c r="K44" s="263">
        <v>445738.97</v>
      </c>
      <c r="L44" s="262"/>
      <c r="M44" s="263"/>
      <c r="N44" s="264">
        <v>1</v>
      </c>
      <c r="O44" s="251"/>
      <c r="P44" s="241"/>
      <c r="Q44" s="242"/>
      <c r="R44" s="132"/>
    </row>
    <row r="45" spans="1:22" ht="15.75" customHeight="1" outlineLevel="1" thickBot="1" x14ac:dyDescent="0.3">
      <c r="A45" s="1128" t="s">
        <v>628</v>
      </c>
      <c r="B45" s="1129"/>
      <c r="C45" s="265"/>
      <c r="D45" s="266">
        <f>SUM(D41:D44)</f>
        <v>3665872.66</v>
      </c>
      <c r="E45" s="267"/>
      <c r="F45" s="267"/>
      <c r="G45" s="268">
        <f>SUM(G41:G44)</f>
        <v>4343662.6000000006</v>
      </c>
      <c r="H45" s="267"/>
      <c r="I45" s="269"/>
      <c r="J45" s="268">
        <f>SUM(J41:J44)</f>
        <v>3665872.66</v>
      </c>
      <c r="K45" s="268">
        <f>SUM(K41:K44)</f>
        <v>3665872.66</v>
      </c>
      <c r="L45" s="270"/>
      <c r="M45" s="268"/>
      <c r="N45" s="271">
        <f>AVERAGE(N41:N44)</f>
        <v>1</v>
      </c>
      <c r="O45" s="251"/>
      <c r="P45" s="166"/>
      <c r="Q45" s="167"/>
      <c r="R45" s="132"/>
    </row>
    <row r="46" spans="1:22" s="5" customFormat="1" ht="33" x14ac:dyDescent="0.25">
      <c r="A46" s="1120">
        <v>11</v>
      </c>
      <c r="B46" s="1125" t="s">
        <v>57</v>
      </c>
      <c r="C46" s="272" t="s">
        <v>500</v>
      </c>
      <c r="D46" s="272">
        <v>6312824.4800000004</v>
      </c>
      <c r="E46" s="273" t="s">
        <v>961</v>
      </c>
      <c r="F46" s="273" t="s">
        <v>960</v>
      </c>
      <c r="G46" s="274">
        <v>6312824.4800000004</v>
      </c>
      <c r="H46" s="212">
        <v>42608</v>
      </c>
      <c r="I46" s="212">
        <v>42704</v>
      </c>
      <c r="J46" s="275">
        <v>5836283.54</v>
      </c>
      <c r="K46" s="275">
        <v>5836283.54</v>
      </c>
      <c r="L46" s="212">
        <v>42724</v>
      </c>
      <c r="M46" s="276"/>
      <c r="N46" s="207">
        <v>0.9</v>
      </c>
      <c r="O46" s="165"/>
      <c r="P46" s="176"/>
      <c r="Q46" s="201" t="s">
        <v>1114</v>
      </c>
      <c r="R46" s="168"/>
      <c r="S46" s="19"/>
      <c r="T46" s="19"/>
      <c r="U46" s="19"/>
      <c r="V46" s="19"/>
    </row>
    <row r="47" spans="1:22" ht="49.5" outlineLevel="1" x14ac:dyDescent="0.25">
      <c r="A47" s="1110"/>
      <c r="B47" s="1077"/>
      <c r="C47" s="180" t="s">
        <v>37</v>
      </c>
      <c r="D47" s="180">
        <f>105638.53*1.18</f>
        <v>124653.46539999999</v>
      </c>
      <c r="E47" s="181" t="s">
        <v>556</v>
      </c>
      <c r="F47" s="181" t="s">
        <v>534</v>
      </c>
      <c r="G47" s="230">
        <v>124653.47</v>
      </c>
      <c r="H47" s="183">
        <v>42429</v>
      </c>
      <c r="I47" s="183">
        <v>42429</v>
      </c>
      <c r="J47" s="184">
        <v>124653.47</v>
      </c>
      <c r="K47" s="184">
        <v>124653.47</v>
      </c>
      <c r="L47" s="183"/>
      <c r="M47" s="184">
        <f>J47-D47</f>
        <v>4.6000000147614628E-3</v>
      </c>
      <c r="N47" s="202"/>
      <c r="O47" s="186" t="s">
        <v>674</v>
      </c>
      <c r="P47" s="176"/>
      <c r="Q47" s="177"/>
      <c r="R47" s="132"/>
    </row>
    <row r="48" spans="1:22" ht="17.25" outlineLevel="1" thickBot="1" x14ac:dyDescent="0.3">
      <c r="A48" s="1105" t="s">
        <v>628</v>
      </c>
      <c r="B48" s="1106"/>
      <c r="C48" s="238"/>
      <c r="D48" s="187">
        <f>SUM(D46:D47)</f>
        <v>6437477.9454000005</v>
      </c>
      <c r="E48" s="239"/>
      <c r="F48" s="239"/>
      <c r="G48" s="189">
        <f>SUM(G46:G47)</f>
        <v>6437477.9500000002</v>
      </c>
      <c r="H48" s="239"/>
      <c r="I48" s="203"/>
      <c r="J48" s="187">
        <f>SUM(J46:J47)</f>
        <v>5960937.0099999998</v>
      </c>
      <c r="K48" s="187">
        <f>SUM(K46:K47)</f>
        <v>5960937.0099999998</v>
      </c>
      <c r="L48" s="204"/>
      <c r="M48" s="187"/>
      <c r="N48" s="231">
        <f>AVERAGE(N46:N47)</f>
        <v>0.9</v>
      </c>
      <c r="O48" s="240"/>
      <c r="P48" s="195"/>
      <c r="Q48" s="196"/>
      <c r="R48" s="132"/>
    </row>
    <row r="49" spans="1:22" s="5" customFormat="1" ht="33" x14ac:dyDescent="0.25">
      <c r="A49" s="1109">
        <v>12</v>
      </c>
      <c r="B49" s="1115" t="s">
        <v>498</v>
      </c>
      <c r="C49" s="243" t="s">
        <v>500</v>
      </c>
      <c r="D49" s="243">
        <v>5108642.4400000004</v>
      </c>
      <c r="E49" s="220" t="s">
        <v>1194</v>
      </c>
      <c r="F49" s="220" t="s">
        <v>914</v>
      </c>
      <c r="G49" s="244">
        <v>5108509.3099999996</v>
      </c>
      <c r="H49" s="223">
        <v>42722</v>
      </c>
      <c r="I49" s="224"/>
      <c r="J49" s="225"/>
      <c r="K49" s="225"/>
      <c r="L49" s="226"/>
      <c r="M49" s="225"/>
      <c r="N49" s="164">
        <v>0.15</v>
      </c>
      <c r="O49" s="165"/>
      <c r="P49" s="245">
        <v>2017</v>
      </c>
      <c r="Q49" s="252"/>
      <c r="R49" s="168"/>
      <c r="S49" s="19"/>
      <c r="T49" s="19"/>
      <c r="U49" s="19"/>
      <c r="V49" s="19"/>
    </row>
    <row r="50" spans="1:22" ht="49.5" outlineLevel="1" x14ac:dyDescent="0.25">
      <c r="A50" s="1110"/>
      <c r="B50" s="1077"/>
      <c r="C50" s="180" t="s">
        <v>37</v>
      </c>
      <c r="D50" s="180">
        <f>90086.92*1.18</f>
        <v>106302.56559999999</v>
      </c>
      <c r="E50" s="181" t="s">
        <v>556</v>
      </c>
      <c r="F50" s="181" t="s">
        <v>534</v>
      </c>
      <c r="G50" s="230">
        <v>106302.57</v>
      </c>
      <c r="H50" s="183">
        <v>42429</v>
      </c>
      <c r="I50" s="183">
        <v>42429</v>
      </c>
      <c r="J50" s="184">
        <v>106302.57</v>
      </c>
      <c r="K50" s="184">
        <v>106302.57</v>
      </c>
      <c r="L50" s="183"/>
      <c r="M50" s="184">
        <f>J50-D50</f>
        <v>4.4000000198138878E-3</v>
      </c>
      <c r="N50" s="202"/>
      <c r="O50" s="186" t="s">
        <v>904</v>
      </c>
      <c r="P50" s="176"/>
      <c r="Q50" s="177"/>
      <c r="R50" s="132"/>
    </row>
    <row r="51" spans="1:22" ht="17.25" outlineLevel="1" thickBot="1" x14ac:dyDescent="0.3">
      <c r="A51" s="1116" t="s">
        <v>628</v>
      </c>
      <c r="B51" s="1117"/>
      <c r="C51" s="246"/>
      <c r="D51" s="187">
        <f>SUM(D49:D50)</f>
        <v>5214945.0056000007</v>
      </c>
      <c r="E51" s="247"/>
      <c r="F51" s="247"/>
      <c r="G51" s="189">
        <f>SUM(G49:G50)</f>
        <v>5214811.88</v>
      </c>
      <c r="H51" s="247"/>
      <c r="I51" s="277"/>
      <c r="J51" s="187">
        <f>SUM(J49:J50)</f>
        <v>106302.57</v>
      </c>
      <c r="K51" s="187">
        <f>SUM(K49:K50)</f>
        <v>106302.57</v>
      </c>
      <c r="L51" s="218"/>
      <c r="M51" s="214"/>
      <c r="N51" s="205">
        <f>AVERAGE(N49:N50)</f>
        <v>0.15</v>
      </c>
      <c r="O51" s="248"/>
      <c r="P51" s="241"/>
      <c r="Q51" s="242"/>
      <c r="R51" s="132"/>
    </row>
    <row r="52" spans="1:22" s="5" customFormat="1" ht="49.5" x14ac:dyDescent="0.25">
      <c r="A52" s="1109">
        <v>13</v>
      </c>
      <c r="B52" s="1091" t="s">
        <v>42</v>
      </c>
      <c r="C52" s="278" t="s">
        <v>38</v>
      </c>
      <c r="D52" s="159">
        <v>687175.52</v>
      </c>
      <c r="E52" s="197" t="s">
        <v>961</v>
      </c>
      <c r="F52" s="197" t="s">
        <v>960</v>
      </c>
      <c r="G52" s="160">
        <v>687175.52</v>
      </c>
      <c r="H52" s="161">
        <v>42551</v>
      </c>
      <c r="I52" s="161">
        <v>42704</v>
      </c>
      <c r="J52" s="162">
        <v>566102.64</v>
      </c>
      <c r="K52" s="162">
        <v>566102.64</v>
      </c>
      <c r="L52" s="161">
        <v>42724</v>
      </c>
      <c r="M52" s="199"/>
      <c r="N52" s="200">
        <v>1</v>
      </c>
      <c r="O52" s="279"/>
      <c r="P52" s="166"/>
      <c r="Q52" s="280" t="s">
        <v>1118</v>
      </c>
      <c r="R52" s="168"/>
      <c r="S52" s="19"/>
      <c r="T52" s="19"/>
      <c r="U52" s="19"/>
      <c r="V52" s="19"/>
    </row>
    <row r="53" spans="1:22" ht="15" customHeight="1" outlineLevel="1" x14ac:dyDescent="0.25">
      <c r="A53" s="1110"/>
      <c r="B53" s="1092"/>
      <c r="C53" s="281" t="s">
        <v>34</v>
      </c>
      <c r="D53" s="208">
        <v>3127164.27</v>
      </c>
      <c r="E53" s="1001" t="s">
        <v>874</v>
      </c>
      <c r="F53" s="1001" t="s">
        <v>770</v>
      </c>
      <c r="G53" s="209">
        <v>3679125.79</v>
      </c>
      <c r="H53" s="1044">
        <v>42561</v>
      </c>
      <c r="I53" s="1044">
        <v>42570</v>
      </c>
      <c r="J53" s="163">
        <v>3127164.27</v>
      </c>
      <c r="K53" s="163">
        <v>3127164.27</v>
      </c>
      <c r="L53" s="210"/>
      <c r="M53" s="163"/>
      <c r="N53" s="211">
        <v>1</v>
      </c>
      <c r="O53" s="282"/>
      <c r="P53" s="176"/>
      <c r="Q53" s="177"/>
      <c r="R53" s="132"/>
    </row>
    <row r="54" spans="1:22" ht="16.5" outlineLevel="1" x14ac:dyDescent="0.25">
      <c r="A54" s="1110"/>
      <c r="B54" s="1092"/>
      <c r="C54" s="281" t="s">
        <v>35</v>
      </c>
      <c r="D54" s="208">
        <v>301347.40999999997</v>
      </c>
      <c r="E54" s="985"/>
      <c r="F54" s="985"/>
      <c r="G54" s="209">
        <v>532095.03</v>
      </c>
      <c r="H54" s="976"/>
      <c r="I54" s="978"/>
      <c r="J54" s="163">
        <v>301347.40999999997</v>
      </c>
      <c r="K54" s="163">
        <v>301347.40999999997</v>
      </c>
      <c r="L54" s="210"/>
      <c r="M54" s="163"/>
      <c r="N54" s="213">
        <v>1</v>
      </c>
      <c r="O54" s="282"/>
      <c r="P54" s="176"/>
      <c r="Q54" s="177"/>
      <c r="R54" s="132"/>
    </row>
    <row r="55" spans="1:22" ht="16.5" outlineLevel="1" x14ac:dyDescent="0.25">
      <c r="A55" s="1110"/>
      <c r="B55" s="1092"/>
      <c r="C55" s="281" t="s">
        <v>36</v>
      </c>
      <c r="D55" s="208">
        <v>338927.62</v>
      </c>
      <c r="E55" s="986"/>
      <c r="F55" s="986"/>
      <c r="G55" s="209">
        <v>376900.79</v>
      </c>
      <c r="H55" s="977"/>
      <c r="I55" s="979"/>
      <c r="J55" s="163">
        <v>338927.62</v>
      </c>
      <c r="K55" s="163">
        <v>338927.62</v>
      </c>
      <c r="L55" s="210"/>
      <c r="M55" s="163"/>
      <c r="N55" s="207">
        <v>1</v>
      </c>
      <c r="O55" s="282"/>
      <c r="P55" s="176"/>
      <c r="Q55" s="177"/>
      <c r="R55" s="132"/>
    </row>
    <row r="56" spans="1:22" ht="49.5" outlineLevel="1" x14ac:dyDescent="0.25">
      <c r="A56" s="1110"/>
      <c r="B56" s="1092"/>
      <c r="C56" s="180" t="s">
        <v>37</v>
      </c>
      <c r="D56" s="180">
        <f>147762.55*1.18</f>
        <v>174359.80899999998</v>
      </c>
      <c r="E56" s="181" t="s">
        <v>549</v>
      </c>
      <c r="F56" s="181" t="s">
        <v>534</v>
      </c>
      <c r="G56" s="182">
        <f>147762.55*1.18</f>
        <v>174359.80899999998</v>
      </c>
      <c r="H56" s="183">
        <v>42388</v>
      </c>
      <c r="I56" s="183">
        <v>42350</v>
      </c>
      <c r="J56" s="184">
        <v>174359.81</v>
      </c>
      <c r="K56" s="184">
        <v>174359.80899999998</v>
      </c>
      <c r="L56" s="183"/>
      <c r="M56" s="184">
        <f>J56-D56</f>
        <v>1.0000000183936208E-3</v>
      </c>
      <c r="N56" s="202"/>
      <c r="O56" s="283"/>
      <c r="P56" s="176"/>
      <c r="Q56" s="177"/>
      <c r="R56" s="132"/>
    </row>
    <row r="57" spans="1:22" ht="32.25" customHeight="1" outlineLevel="1" x14ac:dyDescent="0.25">
      <c r="A57" s="1110"/>
      <c r="B57" s="1092"/>
      <c r="C57" s="281" t="s">
        <v>500</v>
      </c>
      <c r="D57" s="208">
        <v>4075073.79</v>
      </c>
      <c r="E57" s="253" t="s">
        <v>874</v>
      </c>
      <c r="F57" s="253" t="s">
        <v>770</v>
      </c>
      <c r="G57" s="209">
        <v>4522078.3600000003</v>
      </c>
      <c r="H57" s="210">
        <v>42561</v>
      </c>
      <c r="I57" s="210">
        <v>42570</v>
      </c>
      <c r="J57" s="163">
        <v>4075073.79</v>
      </c>
      <c r="K57" s="163">
        <v>4075073.79</v>
      </c>
      <c r="L57" s="210"/>
      <c r="M57" s="163"/>
      <c r="N57" s="207">
        <v>1</v>
      </c>
      <c r="O57" s="282"/>
      <c r="P57" s="176"/>
      <c r="Q57" s="177"/>
      <c r="R57" s="132"/>
    </row>
    <row r="58" spans="1:22" ht="49.5" outlineLevel="1" x14ac:dyDescent="0.25">
      <c r="A58" s="1110"/>
      <c r="B58" s="1092"/>
      <c r="C58" s="180" t="s">
        <v>37</v>
      </c>
      <c r="D58" s="180">
        <f>70913.77*1.18</f>
        <v>83678.248600000006</v>
      </c>
      <c r="E58" s="181" t="s">
        <v>556</v>
      </c>
      <c r="F58" s="181" t="s">
        <v>534</v>
      </c>
      <c r="G58" s="182">
        <f>70913.77*1.18</f>
        <v>83678.248600000006</v>
      </c>
      <c r="H58" s="183">
        <v>42429</v>
      </c>
      <c r="I58" s="183">
        <v>42429</v>
      </c>
      <c r="J58" s="184">
        <v>83678.25</v>
      </c>
      <c r="K58" s="184">
        <v>83678.25</v>
      </c>
      <c r="L58" s="183"/>
      <c r="M58" s="184">
        <f>J58-D58</f>
        <v>1.3999999937368557E-3</v>
      </c>
      <c r="N58" s="237"/>
      <c r="O58" s="186" t="s">
        <v>674</v>
      </c>
      <c r="P58" s="176"/>
      <c r="Q58" s="177"/>
      <c r="R58" s="132"/>
    </row>
    <row r="59" spans="1:22" ht="17.25" outlineLevel="1" thickBot="1" x14ac:dyDescent="0.3">
      <c r="A59" s="1105" t="s">
        <v>628</v>
      </c>
      <c r="B59" s="1106"/>
      <c r="C59" s="284"/>
      <c r="D59" s="187">
        <f>SUM(D52:D58)</f>
        <v>8787726.6676000003</v>
      </c>
      <c r="E59" s="239"/>
      <c r="F59" s="239"/>
      <c r="G59" s="189">
        <f>SUM(G52:G58)</f>
        <v>10055413.547600003</v>
      </c>
      <c r="H59" s="239"/>
      <c r="I59" s="203"/>
      <c r="J59" s="187">
        <f>SUM(J52:J58)</f>
        <v>8666653.7899999991</v>
      </c>
      <c r="K59" s="187">
        <f>SUM(K52:K58)</f>
        <v>8666653.7890000008</v>
      </c>
      <c r="L59" s="204"/>
      <c r="M59" s="187"/>
      <c r="N59" s="193">
        <f>AVERAGE(N52:N58)</f>
        <v>1</v>
      </c>
      <c r="O59" s="285"/>
      <c r="P59" s="195"/>
      <c r="Q59" s="196"/>
      <c r="R59" s="132"/>
    </row>
    <row r="60" spans="1:22" s="5" customFormat="1" ht="15" customHeight="1" x14ac:dyDescent="0.25">
      <c r="A60" s="1109">
        <v>14</v>
      </c>
      <c r="B60" s="1091" t="s">
        <v>43</v>
      </c>
      <c r="C60" s="278" t="s">
        <v>38</v>
      </c>
      <c r="D60" s="159">
        <v>660167.18000000005</v>
      </c>
      <c r="E60" s="984" t="s">
        <v>874</v>
      </c>
      <c r="F60" s="984" t="s">
        <v>770</v>
      </c>
      <c r="G60" s="160">
        <v>749717.74</v>
      </c>
      <c r="H60" s="161">
        <v>42551</v>
      </c>
      <c r="I60" s="975">
        <v>42570</v>
      </c>
      <c r="J60" s="162">
        <v>660167.18000000017</v>
      </c>
      <c r="K60" s="162">
        <v>660167.18000000017</v>
      </c>
      <c r="L60" s="198"/>
      <c r="M60" s="199"/>
      <c r="N60" s="232">
        <v>1</v>
      </c>
      <c r="O60" s="279"/>
      <c r="P60" s="245"/>
      <c r="Q60" s="252"/>
      <c r="R60" s="168"/>
      <c r="S60" s="19"/>
      <c r="T60" s="19"/>
      <c r="U60" s="19"/>
      <c r="V60" s="19"/>
    </row>
    <row r="61" spans="1:22" ht="16.5" outlineLevel="1" x14ac:dyDescent="0.25">
      <c r="A61" s="1110"/>
      <c r="B61" s="1092"/>
      <c r="C61" s="281" t="s">
        <v>34</v>
      </c>
      <c r="D61" s="208">
        <v>3075585.68</v>
      </c>
      <c r="E61" s="1002"/>
      <c r="F61" s="1002"/>
      <c r="G61" s="209">
        <v>3679125.79</v>
      </c>
      <c r="H61" s="1044">
        <v>42561</v>
      </c>
      <c r="I61" s="978"/>
      <c r="J61" s="163">
        <v>3075585.68</v>
      </c>
      <c r="K61" s="163">
        <v>3075585.68</v>
      </c>
      <c r="L61" s="210"/>
      <c r="M61" s="163"/>
      <c r="N61" s="211">
        <v>1</v>
      </c>
      <c r="O61" s="282"/>
      <c r="P61" s="176"/>
      <c r="Q61" s="177"/>
      <c r="R61" s="132"/>
    </row>
    <row r="62" spans="1:22" ht="16.5" outlineLevel="1" x14ac:dyDescent="0.25">
      <c r="A62" s="1110"/>
      <c r="B62" s="1092"/>
      <c r="C62" s="281" t="s">
        <v>35</v>
      </c>
      <c r="D62" s="208">
        <v>292540.95</v>
      </c>
      <c r="E62" s="1002"/>
      <c r="F62" s="1002"/>
      <c r="G62" s="209">
        <v>532095.03</v>
      </c>
      <c r="H62" s="977"/>
      <c r="I62" s="978"/>
      <c r="J62" s="163">
        <v>292540.95</v>
      </c>
      <c r="K62" s="163">
        <v>292540.95</v>
      </c>
      <c r="L62" s="210"/>
      <c r="M62" s="163"/>
      <c r="N62" s="211">
        <v>1</v>
      </c>
      <c r="O62" s="282"/>
      <c r="P62" s="176"/>
      <c r="Q62" s="177"/>
      <c r="R62" s="132"/>
    </row>
    <row r="63" spans="1:22" ht="16.5" outlineLevel="1" x14ac:dyDescent="0.25">
      <c r="A63" s="1110"/>
      <c r="B63" s="1092"/>
      <c r="C63" s="281" t="s">
        <v>36</v>
      </c>
      <c r="D63" s="208">
        <v>334122.08</v>
      </c>
      <c r="E63" s="1003"/>
      <c r="F63" s="1003"/>
      <c r="G63" s="209">
        <v>376900.79</v>
      </c>
      <c r="H63" s="210">
        <v>42557</v>
      </c>
      <c r="I63" s="979"/>
      <c r="J63" s="163">
        <v>334122.08</v>
      </c>
      <c r="K63" s="163">
        <v>334122.08</v>
      </c>
      <c r="L63" s="210"/>
      <c r="M63" s="163"/>
      <c r="N63" s="211">
        <v>1</v>
      </c>
      <c r="O63" s="282"/>
      <c r="P63" s="176"/>
      <c r="Q63" s="177"/>
      <c r="R63" s="132"/>
    </row>
    <row r="64" spans="1:22" ht="49.5" outlineLevel="1" x14ac:dyDescent="0.25">
      <c r="A64" s="1110"/>
      <c r="B64" s="1092"/>
      <c r="C64" s="180" t="s">
        <v>37</v>
      </c>
      <c r="D64" s="180">
        <f>147762.55*1.18</f>
        <v>174359.80899999998</v>
      </c>
      <c r="E64" s="181" t="s">
        <v>549</v>
      </c>
      <c r="F64" s="181" t="s">
        <v>534</v>
      </c>
      <c r="G64" s="182">
        <f>147762.55*1.18</f>
        <v>174359.80899999998</v>
      </c>
      <c r="H64" s="183">
        <v>42388</v>
      </c>
      <c r="I64" s="183">
        <v>42350</v>
      </c>
      <c r="J64" s="184">
        <v>174359.80899999998</v>
      </c>
      <c r="K64" s="184">
        <v>174359.80899999998</v>
      </c>
      <c r="L64" s="183"/>
      <c r="M64" s="184">
        <f>J64-D64</f>
        <v>0</v>
      </c>
      <c r="N64" s="202"/>
      <c r="O64" s="283"/>
      <c r="P64" s="176"/>
      <c r="Q64" s="177"/>
      <c r="R64" s="132"/>
    </row>
    <row r="65" spans="1:22" ht="33" customHeight="1" outlineLevel="1" x14ac:dyDescent="0.25">
      <c r="A65" s="1110"/>
      <c r="B65" s="1092"/>
      <c r="C65" s="281" t="s">
        <v>500</v>
      </c>
      <c r="D65" s="208">
        <v>4083393.97</v>
      </c>
      <c r="E65" s="253" t="s">
        <v>874</v>
      </c>
      <c r="F65" s="253" t="s">
        <v>770</v>
      </c>
      <c r="G65" s="209">
        <v>4551960.68</v>
      </c>
      <c r="H65" s="210">
        <v>42561</v>
      </c>
      <c r="I65" s="210">
        <v>42570</v>
      </c>
      <c r="J65" s="163">
        <v>4083393.97</v>
      </c>
      <c r="K65" s="163">
        <v>4083393.97</v>
      </c>
      <c r="L65" s="210"/>
      <c r="M65" s="163"/>
      <c r="N65" s="207">
        <v>1</v>
      </c>
      <c r="O65" s="282"/>
      <c r="P65" s="176"/>
      <c r="Q65" s="177"/>
      <c r="R65" s="132"/>
    </row>
    <row r="66" spans="1:22" ht="49.5" outlineLevel="1" x14ac:dyDescent="0.25">
      <c r="A66" s="1110"/>
      <c r="B66" s="1092"/>
      <c r="C66" s="180" t="s">
        <v>37</v>
      </c>
      <c r="D66" s="180">
        <v>83678.248600000006</v>
      </c>
      <c r="E66" s="181" t="s">
        <v>556</v>
      </c>
      <c r="F66" s="181" t="s">
        <v>534</v>
      </c>
      <c r="G66" s="182">
        <v>83678.248600000006</v>
      </c>
      <c r="H66" s="183">
        <v>42429</v>
      </c>
      <c r="I66" s="183">
        <v>42429</v>
      </c>
      <c r="J66" s="184">
        <v>83678.25</v>
      </c>
      <c r="K66" s="184">
        <v>83678.25</v>
      </c>
      <c r="L66" s="183"/>
      <c r="M66" s="184">
        <f>J66-D66</f>
        <v>1.3999999937368557E-3</v>
      </c>
      <c r="N66" s="202"/>
      <c r="O66" s="186" t="s">
        <v>674</v>
      </c>
      <c r="P66" s="176"/>
      <c r="Q66" s="177"/>
      <c r="R66" s="132"/>
    </row>
    <row r="67" spans="1:22" ht="17.25" outlineLevel="1" thickBot="1" x14ac:dyDescent="0.3">
      <c r="A67" s="1116" t="s">
        <v>628</v>
      </c>
      <c r="B67" s="1117"/>
      <c r="C67" s="286"/>
      <c r="D67" s="214">
        <f>SUM(D60:D66)</f>
        <v>8703847.9176000021</v>
      </c>
      <c r="E67" s="247"/>
      <c r="F67" s="247"/>
      <c r="G67" s="216">
        <f>SUM(G60:G66)</f>
        <v>10147838.087600002</v>
      </c>
      <c r="H67" s="247"/>
      <c r="I67" s="217"/>
      <c r="J67" s="214">
        <f>SUM(J60:J66)</f>
        <v>8703847.9190000016</v>
      </c>
      <c r="K67" s="214">
        <f>SUM(K60:K66)</f>
        <v>8703847.9190000016</v>
      </c>
      <c r="L67" s="218"/>
      <c r="M67" s="214"/>
      <c r="N67" s="205">
        <f>AVERAGE(N60:N66)</f>
        <v>1</v>
      </c>
      <c r="O67" s="287"/>
      <c r="P67" s="241"/>
      <c r="Q67" s="242"/>
      <c r="R67" s="132"/>
    </row>
    <row r="68" spans="1:22" s="5" customFormat="1" ht="33" x14ac:dyDescent="0.25">
      <c r="A68" s="1109">
        <v>15</v>
      </c>
      <c r="B68" s="1091" t="s">
        <v>47</v>
      </c>
      <c r="C68" s="278" t="s">
        <v>500</v>
      </c>
      <c r="D68" s="159">
        <v>3901373.92</v>
      </c>
      <c r="E68" s="197" t="s">
        <v>915</v>
      </c>
      <c r="F68" s="197" t="s">
        <v>914</v>
      </c>
      <c r="G68" s="160">
        <v>4455244.43</v>
      </c>
      <c r="H68" s="161">
        <v>42581</v>
      </c>
      <c r="I68" s="161">
        <v>42653</v>
      </c>
      <c r="J68" s="162">
        <v>3901373.92</v>
      </c>
      <c r="K68" s="162">
        <v>3901373.92</v>
      </c>
      <c r="L68" s="198"/>
      <c r="M68" s="199"/>
      <c r="N68" s="207">
        <v>1</v>
      </c>
      <c r="O68" s="279"/>
      <c r="P68" s="166"/>
      <c r="Q68" s="201" t="s">
        <v>1116</v>
      </c>
      <c r="R68" s="168"/>
      <c r="S68" s="19"/>
      <c r="T68" s="19"/>
      <c r="U68" s="19"/>
      <c r="V68" s="19"/>
    </row>
    <row r="69" spans="1:22" ht="49.5" outlineLevel="1" x14ac:dyDescent="0.25">
      <c r="A69" s="1110"/>
      <c r="B69" s="1092"/>
      <c r="C69" s="180" t="s">
        <v>37</v>
      </c>
      <c r="D69" s="180">
        <f>70729.49*1.18</f>
        <v>83460.798200000005</v>
      </c>
      <c r="E69" s="181" t="s">
        <v>556</v>
      </c>
      <c r="F69" s="181" t="s">
        <v>534</v>
      </c>
      <c r="G69" s="230">
        <v>83460.800000000003</v>
      </c>
      <c r="H69" s="183">
        <v>42429</v>
      </c>
      <c r="I69" s="183">
        <v>42429</v>
      </c>
      <c r="J69" s="184">
        <v>83460.800000000003</v>
      </c>
      <c r="K69" s="184">
        <v>83460.800000000003</v>
      </c>
      <c r="L69" s="183"/>
      <c r="M69" s="184">
        <f>J69-D69</f>
        <v>1.799999998183921E-3</v>
      </c>
      <c r="N69" s="202"/>
      <c r="O69" s="186" t="s">
        <v>674</v>
      </c>
      <c r="P69" s="176"/>
      <c r="Q69" s="177"/>
      <c r="R69" s="132"/>
    </row>
    <row r="70" spans="1:22" s="5" customFormat="1" ht="17.25" outlineLevel="1" thickBot="1" x14ac:dyDescent="0.3">
      <c r="A70" s="1105" t="s">
        <v>628</v>
      </c>
      <c r="B70" s="1106"/>
      <c r="C70" s="288"/>
      <c r="D70" s="187">
        <f>SUM(D68:D69)</f>
        <v>3984834.7182</v>
      </c>
      <c r="E70" s="188"/>
      <c r="F70" s="188"/>
      <c r="G70" s="189">
        <f>SUM(G68:G69)</f>
        <v>4538705.2299999995</v>
      </c>
      <c r="H70" s="188"/>
      <c r="I70" s="203"/>
      <c r="J70" s="187">
        <f>SUM(J68:J69)</f>
        <v>3984834.7199999997</v>
      </c>
      <c r="K70" s="187">
        <f>SUM(K68:K69)</f>
        <v>3984834.7199999997</v>
      </c>
      <c r="L70" s="204"/>
      <c r="M70" s="187"/>
      <c r="N70" s="205">
        <f>AVERAGE(N68:N69)</f>
        <v>1</v>
      </c>
      <c r="O70" s="289"/>
      <c r="P70" s="195"/>
      <c r="Q70" s="196"/>
      <c r="R70" s="168"/>
      <c r="S70" s="19"/>
      <c r="T70" s="19"/>
      <c r="U70" s="19"/>
      <c r="V70" s="19"/>
    </row>
    <row r="71" spans="1:22" s="5" customFormat="1" ht="33" x14ac:dyDescent="0.25">
      <c r="A71" s="1109">
        <v>16</v>
      </c>
      <c r="B71" s="1091" t="s">
        <v>48</v>
      </c>
      <c r="C71" s="278" t="s">
        <v>500</v>
      </c>
      <c r="D71" s="159">
        <v>3889443.6</v>
      </c>
      <c r="E71" s="197" t="s">
        <v>915</v>
      </c>
      <c r="F71" s="197" t="s">
        <v>914</v>
      </c>
      <c r="G71" s="160">
        <v>4432184.08</v>
      </c>
      <c r="H71" s="161">
        <v>42581</v>
      </c>
      <c r="I71" s="161">
        <v>42653</v>
      </c>
      <c r="J71" s="162">
        <v>3889443.6</v>
      </c>
      <c r="K71" s="162">
        <v>3889443.6</v>
      </c>
      <c r="L71" s="198"/>
      <c r="M71" s="199"/>
      <c r="N71" s="207">
        <v>1</v>
      </c>
      <c r="O71" s="279"/>
      <c r="P71" s="245"/>
      <c r="Q71" s="201" t="s">
        <v>1116</v>
      </c>
      <c r="R71" s="168"/>
      <c r="S71" s="19"/>
      <c r="T71" s="19"/>
      <c r="U71" s="19"/>
      <c r="V71" s="19"/>
    </row>
    <row r="72" spans="1:22" ht="49.5" outlineLevel="1" x14ac:dyDescent="0.25">
      <c r="A72" s="1110"/>
      <c r="B72" s="1092"/>
      <c r="C72" s="180" t="s">
        <v>37</v>
      </c>
      <c r="D72" s="180">
        <f>70748.83*1.18</f>
        <v>83483.619399999996</v>
      </c>
      <c r="E72" s="181" t="s">
        <v>556</v>
      </c>
      <c r="F72" s="181" t="s">
        <v>534</v>
      </c>
      <c r="G72" s="230">
        <v>83483.62</v>
      </c>
      <c r="H72" s="183">
        <v>42429</v>
      </c>
      <c r="I72" s="183">
        <v>42429</v>
      </c>
      <c r="J72" s="184">
        <v>83483.62</v>
      </c>
      <c r="K72" s="184">
        <v>83483.62000000001</v>
      </c>
      <c r="L72" s="183"/>
      <c r="M72" s="184">
        <f>J72-D72</f>
        <v>5.9999999939464033E-4</v>
      </c>
      <c r="N72" s="237"/>
      <c r="O72" s="186" t="s">
        <v>674</v>
      </c>
      <c r="P72" s="176"/>
      <c r="Q72" s="177"/>
      <c r="R72" s="132"/>
    </row>
    <row r="73" spans="1:22" ht="17.25" outlineLevel="1" thickBot="1" x14ac:dyDescent="0.3">
      <c r="A73" s="1116" t="s">
        <v>628</v>
      </c>
      <c r="B73" s="1117"/>
      <c r="C73" s="286"/>
      <c r="D73" s="214">
        <f>SUM(D71:D72)</f>
        <v>3972927.2194000003</v>
      </c>
      <c r="E73" s="247"/>
      <c r="F73" s="247"/>
      <c r="G73" s="216">
        <f>SUM(G71:G72)</f>
        <v>4515667.7</v>
      </c>
      <c r="H73" s="247"/>
      <c r="I73" s="217"/>
      <c r="J73" s="214">
        <f>SUM(J71:J72)</f>
        <v>3972927.22</v>
      </c>
      <c r="K73" s="214">
        <f>SUM(K71:K72)</f>
        <v>3972927.22</v>
      </c>
      <c r="L73" s="218"/>
      <c r="M73" s="214"/>
      <c r="N73" s="193">
        <f>AVERAGE(N71:N72)</f>
        <v>1</v>
      </c>
      <c r="O73" s="287"/>
      <c r="P73" s="241"/>
      <c r="Q73" s="242"/>
      <c r="R73" s="132"/>
    </row>
    <row r="74" spans="1:22" s="5" customFormat="1" ht="33" x14ac:dyDescent="0.25">
      <c r="A74" s="1109">
        <v>17</v>
      </c>
      <c r="B74" s="1091" t="s">
        <v>49</v>
      </c>
      <c r="C74" s="278" t="s">
        <v>500</v>
      </c>
      <c r="D74" s="159">
        <v>4013657.65</v>
      </c>
      <c r="E74" s="197" t="s">
        <v>915</v>
      </c>
      <c r="F74" s="197" t="s">
        <v>914</v>
      </c>
      <c r="G74" s="160">
        <v>4571571.49</v>
      </c>
      <c r="H74" s="161">
        <v>42581</v>
      </c>
      <c r="I74" s="161">
        <v>42653</v>
      </c>
      <c r="J74" s="162">
        <v>4013657.65</v>
      </c>
      <c r="K74" s="162">
        <v>4013657.65</v>
      </c>
      <c r="L74" s="198"/>
      <c r="M74" s="199"/>
      <c r="N74" s="207">
        <v>1</v>
      </c>
      <c r="O74" s="279"/>
      <c r="P74" s="166"/>
      <c r="Q74" s="201" t="s">
        <v>1116</v>
      </c>
      <c r="R74" s="168"/>
      <c r="S74" s="19"/>
      <c r="T74" s="19"/>
      <c r="U74" s="19"/>
      <c r="V74" s="19"/>
    </row>
    <row r="75" spans="1:22" ht="49.5" outlineLevel="1" x14ac:dyDescent="0.25">
      <c r="A75" s="1110"/>
      <c r="B75" s="1092"/>
      <c r="C75" s="180" t="s">
        <v>37</v>
      </c>
      <c r="D75" s="180">
        <f>70847.79*1.18</f>
        <v>83600.392199999987</v>
      </c>
      <c r="E75" s="181" t="s">
        <v>556</v>
      </c>
      <c r="F75" s="181" t="s">
        <v>534</v>
      </c>
      <c r="G75" s="230">
        <v>83600.39</v>
      </c>
      <c r="H75" s="183">
        <v>42429</v>
      </c>
      <c r="I75" s="183">
        <v>42429</v>
      </c>
      <c r="J75" s="184">
        <v>83600.389999999985</v>
      </c>
      <c r="K75" s="184">
        <v>83600.39</v>
      </c>
      <c r="L75" s="183"/>
      <c r="M75" s="184">
        <f>J75-D75</f>
        <v>-2.2000000026309863E-3</v>
      </c>
      <c r="N75" s="202"/>
      <c r="O75" s="186" t="s">
        <v>674</v>
      </c>
      <c r="P75" s="176"/>
      <c r="Q75" s="177"/>
      <c r="R75" s="132"/>
    </row>
    <row r="76" spans="1:22" ht="15" customHeight="1" outlineLevel="1" thickBot="1" x14ac:dyDescent="0.3">
      <c r="A76" s="1167" t="s">
        <v>628</v>
      </c>
      <c r="B76" s="1168"/>
      <c r="C76" s="284"/>
      <c r="D76" s="187">
        <f>SUM(D74:D75)</f>
        <v>4097258.0422</v>
      </c>
      <c r="E76" s="239"/>
      <c r="F76" s="239"/>
      <c r="G76" s="189">
        <f>SUM(G74:G75)</f>
        <v>4655171.88</v>
      </c>
      <c r="H76" s="239"/>
      <c r="I76" s="203"/>
      <c r="J76" s="187">
        <f>SUM(J74:J75)</f>
        <v>4097258.04</v>
      </c>
      <c r="K76" s="187">
        <f>SUM(K74:K75)</f>
        <v>4097258.04</v>
      </c>
      <c r="L76" s="204"/>
      <c r="M76" s="187"/>
      <c r="N76" s="231">
        <f>AVERAGE(N74:N75)</f>
        <v>1</v>
      </c>
      <c r="O76" s="285"/>
      <c r="P76" s="195"/>
      <c r="Q76" s="196"/>
      <c r="R76" s="132"/>
    </row>
    <row r="77" spans="1:22" s="5" customFormat="1" ht="33" x14ac:dyDescent="0.25">
      <c r="A77" s="1109">
        <v>18</v>
      </c>
      <c r="B77" s="1091" t="s">
        <v>52</v>
      </c>
      <c r="C77" s="290" t="s">
        <v>500</v>
      </c>
      <c r="D77" s="243">
        <v>3645005.84</v>
      </c>
      <c r="E77" s="220" t="s">
        <v>1194</v>
      </c>
      <c r="F77" s="220" t="s">
        <v>914</v>
      </c>
      <c r="G77" s="244">
        <v>3644910.86</v>
      </c>
      <c r="H77" s="223">
        <v>42722</v>
      </c>
      <c r="I77" s="224"/>
      <c r="J77" s="225"/>
      <c r="K77" s="225"/>
      <c r="L77" s="226"/>
      <c r="M77" s="225"/>
      <c r="N77" s="291">
        <v>0</v>
      </c>
      <c r="O77" s="279"/>
      <c r="P77" s="245">
        <v>2017</v>
      </c>
      <c r="Q77" s="252"/>
      <c r="R77" s="168"/>
      <c r="S77" s="19"/>
      <c r="T77" s="19"/>
      <c r="U77" s="19"/>
      <c r="V77" s="19"/>
    </row>
    <row r="78" spans="1:22" ht="49.5" outlineLevel="1" x14ac:dyDescent="0.25">
      <c r="A78" s="1110"/>
      <c r="B78" s="1092"/>
      <c r="C78" s="180" t="s">
        <v>37</v>
      </c>
      <c r="D78" s="180">
        <f>72266.35*1.18</f>
        <v>85274.293000000005</v>
      </c>
      <c r="E78" s="181" t="s">
        <v>556</v>
      </c>
      <c r="F78" s="181" t="s">
        <v>534</v>
      </c>
      <c r="G78" s="230">
        <v>85274.29</v>
      </c>
      <c r="H78" s="183">
        <v>42429</v>
      </c>
      <c r="I78" s="183">
        <v>42429</v>
      </c>
      <c r="J78" s="184">
        <v>85274.289999999979</v>
      </c>
      <c r="K78" s="184">
        <v>85274.29</v>
      </c>
      <c r="L78" s="183"/>
      <c r="M78" s="184">
        <f>J78-D78</f>
        <v>-3.0000000260770321E-3</v>
      </c>
      <c r="N78" s="202"/>
      <c r="O78" s="186" t="s">
        <v>674</v>
      </c>
      <c r="P78" s="176"/>
      <c r="Q78" s="177"/>
      <c r="R78" s="132"/>
    </row>
    <row r="79" spans="1:22" ht="17.25" outlineLevel="1" thickBot="1" x14ac:dyDescent="0.3">
      <c r="A79" s="1105" t="s">
        <v>628</v>
      </c>
      <c r="B79" s="1106"/>
      <c r="C79" s="284"/>
      <c r="D79" s="187">
        <f>SUM(D77:D78)</f>
        <v>3730280.1329999999</v>
      </c>
      <c r="E79" s="239"/>
      <c r="F79" s="239"/>
      <c r="G79" s="189">
        <f>SUM(G77:G78)</f>
        <v>3730185.15</v>
      </c>
      <c r="H79" s="239"/>
      <c r="I79" s="203"/>
      <c r="J79" s="187">
        <f>SUM(J77:J78)</f>
        <v>85274.289999999979</v>
      </c>
      <c r="K79" s="187">
        <f>SUM(K77:K78)</f>
        <v>85274.29</v>
      </c>
      <c r="L79" s="204"/>
      <c r="M79" s="187"/>
      <c r="N79" s="205">
        <f>AVERAGE(N77:N78)</f>
        <v>0</v>
      </c>
      <c r="O79" s="285"/>
      <c r="P79" s="241"/>
      <c r="Q79" s="242"/>
      <c r="R79" s="132"/>
    </row>
    <row r="80" spans="1:22" s="5" customFormat="1" ht="16.5" x14ac:dyDescent="0.25">
      <c r="A80" s="1109">
        <v>19</v>
      </c>
      <c r="B80" s="1091" t="s">
        <v>22</v>
      </c>
      <c r="C80" s="278" t="s">
        <v>38</v>
      </c>
      <c r="D80" s="159">
        <v>1531395.36</v>
      </c>
      <c r="E80" s="984" t="s">
        <v>956</v>
      </c>
      <c r="F80" s="984" t="s">
        <v>770</v>
      </c>
      <c r="G80" s="160">
        <v>1728808.22</v>
      </c>
      <c r="H80" s="292">
        <v>42582</v>
      </c>
      <c r="I80" s="975">
        <v>42584</v>
      </c>
      <c r="J80" s="162">
        <v>1531395.36</v>
      </c>
      <c r="K80" s="162">
        <v>1531395.36</v>
      </c>
      <c r="L80" s="198"/>
      <c r="M80" s="199"/>
      <c r="N80" s="207">
        <v>1</v>
      </c>
      <c r="O80" s="279"/>
      <c r="P80" s="166"/>
      <c r="Q80" s="167"/>
      <c r="R80" s="168"/>
      <c r="S80" s="19"/>
      <c r="T80" s="19"/>
      <c r="U80" s="19"/>
      <c r="V80" s="19"/>
    </row>
    <row r="81" spans="1:22" ht="16.5" outlineLevel="1" x14ac:dyDescent="0.25">
      <c r="A81" s="1110"/>
      <c r="B81" s="1092"/>
      <c r="C81" s="281" t="s">
        <v>34</v>
      </c>
      <c r="D81" s="208">
        <v>7052356.3899999997</v>
      </c>
      <c r="E81" s="985"/>
      <c r="F81" s="985"/>
      <c r="G81" s="209">
        <v>8144921.6200000001</v>
      </c>
      <c r="H81" s="293">
        <v>42581</v>
      </c>
      <c r="I81" s="976"/>
      <c r="J81" s="163">
        <v>7052356.3899999997</v>
      </c>
      <c r="K81" s="163">
        <v>7052356.3899999997</v>
      </c>
      <c r="L81" s="210"/>
      <c r="M81" s="163"/>
      <c r="N81" s="211">
        <v>1</v>
      </c>
      <c r="O81" s="282"/>
      <c r="P81" s="176"/>
      <c r="Q81" s="177"/>
      <c r="R81" s="132"/>
    </row>
    <row r="82" spans="1:22" ht="16.5" outlineLevel="1" x14ac:dyDescent="0.25">
      <c r="A82" s="1110"/>
      <c r="B82" s="1092"/>
      <c r="C82" s="281" t="s">
        <v>35</v>
      </c>
      <c r="D82" s="208">
        <v>1058918.49</v>
      </c>
      <c r="E82" s="985"/>
      <c r="F82" s="985"/>
      <c r="G82" s="209">
        <v>1453961.96</v>
      </c>
      <c r="H82" s="293">
        <v>42581</v>
      </c>
      <c r="I82" s="976"/>
      <c r="J82" s="163">
        <v>1058918.49</v>
      </c>
      <c r="K82" s="163">
        <v>1058918.49</v>
      </c>
      <c r="L82" s="210"/>
      <c r="M82" s="163"/>
      <c r="N82" s="211">
        <v>1</v>
      </c>
      <c r="O82" s="282"/>
      <c r="P82" s="176"/>
      <c r="Q82" s="177"/>
      <c r="R82" s="132"/>
    </row>
    <row r="83" spans="1:22" ht="16.5" outlineLevel="1" x14ac:dyDescent="0.25">
      <c r="A83" s="1110"/>
      <c r="B83" s="1092"/>
      <c r="C83" s="281" t="s">
        <v>36</v>
      </c>
      <c r="D83" s="208">
        <v>994909.59</v>
      </c>
      <c r="E83" s="986"/>
      <c r="F83" s="986"/>
      <c r="G83" s="209">
        <v>1086766.6100000001</v>
      </c>
      <c r="H83" s="293">
        <v>42581</v>
      </c>
      <c r="I83" s="977"/>
      <c r="J83" s="163">
        <v>994909.59</v>
      </c>
      <c r="K83" s="163">
        <v>994909.59</v>
      </c>
      <c r="L83" s="210"/>
      <c r="M83" s="163"/>
      <c r="N83" s="211">
        <v>1</v>
      </c>
      <c r="O83" s="282"/>
      <c r="P83" s="176"/>
      <c r="Q83" s="177"/>
      <c r="R83" s="132"/>
    </row>
    <row r="84" spans="1:22" ht="49.5" outlineLevel="1" x14ac:dyDescent="0.25">
      <c r="A84" s="1110"/>
      <c r="B84" s="1092"/>
      <c r="C84" s="294" t="s">
        <v>37</v>
      </c>
      <c r="D84" s="180">
        <f>231493.56*1.18</f>
        <v>273162.4008</v>
      </c>
      <c r="E84" s="181" t="s">
        <v>549</v>
      </c>
      <c r="F84" s="181" t="s">
        <v>534</v>
      </c>
      <c r="G84" s="230">
        <v>273162.40000000002</v>
      </c>
      <c r="H84" s="183">
        <v>42388</v>
      </c>
      <c r="I84" s="183">
        <v>42350</v>
      </c>
      <c r="J84" s="184">
        <v>273162.40000000002</v>
      </c>
      <c r="K84" s="184">
        <v>273162.40000000002</v>
      </c>
      <c r="L84" s="183"/>
      <c r="M84" s="184">
        <f>J84-D84</f>
        <v>-7.9999997979030013E-4</v>
      </c>
      <c r="N84" s="202"/>
      <c r="O84" s="186" t="s">
        <v>674</v>
      </c>
      <c r="P84" s="176"/>
      <c r="Q84" s="177"/>
      <c r="R84" s="132"/>
    </row>
    <row r="85" spans="1:22" ht="17.25" outlineLevel="1" thickBot="1" x14ac:dyDescent="0.3">
      <c r="A85" s="1116" t="s">
        <v>628</v>
      </c>
      <c r="B85" s="1117"/>
      <c r="C85" s="286"/>
      <c r="D85" s="214">
        <f>SUM(D80:D84)</f>
        <v>10910742.230800001</v>
      </c>
      <c r="E85" s="247"/>
      <c r="F85" s="247"/>
      <c r="G85" s="216">
        <f>SUM(G80:G84)</f>
        <v>12687620.810000001</v>
      </c>
      <c r="H85" s="247"/>
      <c r="I85" s="217"/>
      <c r="J85" s="214">
        <f>SUM(J80:J84)</f>
        <v>10910742.23</v>
      </c>
      <c r="K85" s="214">
        <f>SUM(K80:K84)</f>
        <v>10910742.23</v>
      </c>
      <c r="L85" s="218"/>
      <c r="M85" s="214"/>
      <c r="N85" s="231">
        <f>AVERAGE(N80:N84)</f>
        <v>1</v>
      </c>
      <c r="O85" s="287"/>
      <c r="P85" s="195"/>
      <c r="Q85" s="196"/>
      <c r="R85" s="132"/>
    </row>
    <row r="86" spans="1:22" s="5" customFormat="1" ht="16.5" x14ac:dyDescent="0.25">
      <c r="A86" s="1109">
        <v>20</v>
      </c>
      <c r="B86" s="1091" t="s">
        <v>972</v>
      </c>
      <c r="C86" s="278" t="s">
        <v>38</v>
      </c>
      <c r="D86" s="159">
        <v>909475.61</v>
      </c>
      <c r="E86" s="984" t="s">
        <v>956</v>
      </c>
      <c r="F86" s="984" t="s">
        <v>770</v>
      </c>
      <c r="G86" s="160">
        <v>1034223.4</v>
      </c>
      <c r="H86" s="292">
        <v>42582</v>
      </c>
      <c r="I86" s="975">
        <v>42584</v>
      </c>
      <c r="J86" s="162">
        <v>909475.61</v>
      </c>
      <c r="K86" s="162">
        <v>909475.61</v>
      </c>
      <c r="L86" s="198"/>
      <c r="M86" s="199"/>
      <c r="N86" s="295">
        <v>1</v>
      </c>
      <c r="O86" s="296"/>
      <c r="P86" s="245"/>
      <c r="Q86" s="252"/>
      <c r="R86" s="168"/>
      <c r="S86" s="19"/>
      <c r="T86" s="19"/>
      <c r="U86" s="19"/>
      <c r="V86" s="19"/>
    </row>
    <row r="87" spans="1:22" ht="16.5" outlineLevel="1" x14ac:dyDescent="0.25">
      <c r="A87" s="1110"/>
      <c r="B87" s="1092"/>
      <c r="C87" s="281" t="s">
        <v>34</v>
      </c>
      <c r="D87" s="208">
        <v>4112612.45</v>
      </c>
      <c r="E87" s="985"/>
      <c r="F87" s="985"/>
      <c r="G87" s="209">
        <v>4875670.12</v>
      </c>
      <c r="H87" s="293">
        <v>42581</v>
      </c>
      <c r="I87" s="976"/>
      <c r="J87" s="163">
        <v>4112612.45</v>
      </c>
      <c r="K87" s="163">
        <v>4112612.45</v>
      </c>
      <c r="L87" s="210"/>
      <c r="M87" s="163"/>
      <c r="N87" s="256">
        <v>1</v>
      </c>
      <c r="O87" s="297"/>
      <c r="P87" s="176"/>
      <c r="Q87" s="177"/>
      <c r="R87" s="132"/>
    </row>
    <row r="88" spans="1:22" ht="16.5" outlineLevel="1" x14ac:dyDescent="0.25">
      <c r="A88" s="1110"/>
      <c r="B88" s="1092"/>
      <c r="C88" s="281" t="s">
        <v>35</v>
      </c>
      <c r="D88" s="208">
        <v>628199.01</v>
      </c>
      <c r="E88" s="985"/>
      <c r="F88" s="985"/>
      <c r="G88" s="209">
        <v>945852.72</v>
      </c>
      <c r="H88" s="293">
        <v>42578</v>
      </c>
      <c r="I88" s="976"/>
      <c r="J88" s="163">
        <v>628199.01</v>
      </c>
      <c r="K88" s="163">
        <v>628199.01</v>
      </c>
      <c r="L88" s="210"/>
      <c r="M88" s="163"/>
      <c r="N88" s="256">
        <v>1</v>
      </c>
      <c r="O88" s="297"/>
      <c r="P88" s="176"/>
      <c r="Q88" s="177"/>
      <c r="R88" s="132"/>
    </row>
    <row r="89" spans="1:22" ht="16.5" outlineLevel="1" x14ac:dyDescent="0.25">
      <c r="A89" s="1110"/>
      <c r="B89" s="1092"/>
      <c r="C89" s="281" t="s">
        <v>36</v>
      </c>
      <c r="D89" s="208">
        <v>434342.77</v>
      </c>
      <c r="E89" s="986"/>
      <c r="F89" s="986"/>
      <c r="G89" s="209">
        <v>479795.35</v>
      </c>
      <c r="H89" s="293">
        <v>42581</v>
      </c>
      <c r="I89" s="977"/>
      <c r="J89" s="163">
        <v>434342.77</v>
      </c>
      <c r="K89" s="163">
        <v>434342.77</v>
      </c>
      <c r="L89" s="210"/>
      <c r="M89" s="163"/>
      <c r="N89" s="298">
        <v>1</v>
      </c>
      <c r="O89" s="297"/>
      <c r="P89" s="176"/>
      <c r="Q89" s="177"/>
      <c r="R89" s="132"/>
    </row>
    <row r="90" spans="1:22" ht="33" outlineLevel="1" x14ac:dyDescent="0.25">
      <c r="A90" s="1110"/>
      <c r="B90" s="1092"/>
      <c r="C90" s="299"/>
      <c r="D90" s="214"/>
      <c r="E90" s="299"/>
      <c r="F90" s="299"/>
      <c r="G90" s="300"/>
      <c r="H90" s="301"/>
      <c r="I90" s="302"/>
      <c r="J90" s="303"/>
      <c r="K90" s="303"/>
      <c r="L90" s="304"/>
      <c r="M90" s="303"/>
      <c r="N90" s="305"/>
      <c r="O90" s="306" t="s">
        <v>674</v>
      </c>
      <c r="P90" s="176"/>
      <c r="Q90" s="177"/>
      <c r="R90" s="132"/>
    </row>
    <row r="91" spans="1:22" ht="15.75" customHeight="1" outlineLevel="1" thickBot="1" x14ac:dyDescent="0.3">
      <c r="A91" s="1105" t="s">
        <v>628</v>
      </c>
      <c r="B91" s="1106"/>
      <c r="C91" s="286"/>
      <c r="D91" s="214">
        <f>SUM(D86:D90)</f>
        <v>6084629.8399999999</v>
      </c>
      <c r="E91" s="247"/>
      <c r="F91" s="247"/>
      <c r="G91" s="307">
        <f>G86+G87+G88+G89</f>
        <v>7335541.5899999999</v>
      </c>
      <c r="H91" s="308"/>
      <c r="I91" s="309"/>
      <c r="J91" s="214">
        <f>SUM(J86:J90)</f>
        <v>6084629.8399999999</v>
      </c>
      <c r="K91" s="214">
        <f>SUM(K86:K90)</f>
        <v>6084629.8399999999</v>
      </c>
      <c r="L91" s="308"/>
      <c r="M91" s="310"/>
      <c r="N91" s="311">
        <f>AVERAGE(N86:N90)</f>
        <v>1</v>
      </c>
      <c r="O91" s="312"/>
      <c r="P91" s="241"/>
      <c r="Q91" s="242"/>
      <c r="R91" s="132"/>
    </row>
    <row r="92" spans="1:22" ht="16.5" outlineLevel="1" x14ac:dyDescent="0.25">
      <c r="A92" s="1118">
        <v>21</v>
      </c>
      <c r="B92" s="1091" t="s">
        <v>23</v>
      </c>
      <c r="C92" s="278" t="s">
        <v>38</v>
      </c>
      <c r="D92" s="159">
        <v>1057376.76</v>
      </c>
      <c r="E92" s="984" t="s">
        <v>1266</v>
      </c>
      <c r="F92" s="984" t="s">
        <v>770</v>
      </c>
      <c r="G92" s="313">
        <v>1056748.8</v>
      </c>
      <c r="H92" s="206">
        <v>42729</v>
      </c>
      <c r="I92" s="975">
        <v>42710</v>
      </c>
      <c r="J92" s="162">
        <v>1036026.16</v>
      </c>
      <c r="K92" s="162">
        <v>1036026.16</v>
      </c>
      <c r="L92" s="975">
        <v>42724</v>
      </c>
      <c r="M92" s="162"/>
      <c r="N92" s="295">
        <v>0.15</v>
      </c>
      <c r="O92" s="312"/>
      <c r="P92" s="166">
        <v>2017</v>
      </c>
      <c r="Q92" s="167"/>
      <c r="R92" s="132"/>
    </row>
    <row r="93" spans="1:22" ht="16.5" outlineLevel="1" x14ac:dyDescent="0.25">
      <c r="A93" s="1119"/>
      <c r="B93" s="1092"/>
      <c r="C93" s="281" t="s">
        <v>34</v>
      </c>
      <c r="D93" s="314">
        <v>4984822.68</v>
      </c>
      <c r="E93" s="985"/>
      <c r="F93" s="985"/>
      <c r="G93" s="315">
        <v>4981862.29</v>
      </c>
      <c r="H93" s="210">
        <v>42729</v>
      </c>
      <c r="I93" s="976"/>
      <c r="J93" s="316">
        <v>4875402.22</v>
      </c>
      <c r="K93" s="316">
        <v>4875402.22</v>
      </c>
      <c r="L93" s="976"/>
      <c r="M93" s="316"/>
      <c r="N93" s="317">
        <v>0.15</v>
      </c>
      <c r="O93" s="312"/>
      <c r="P93" s="176">
        <v>2017</v>
      </c>
      <c r="Q93" s="177"/>
      <c r="R93" s="132"/>
    </row>
    <row r="94" spans="1:22" ht="16.5" outlineLevel="1" x14ac:dyDescent="0.25">
      <c r="A94" s="1119"/>
      <c r="B94" s="1092"/>
      <c r="C94" s="281" t="s">
        <v>35</v>
      </c>
      <c r="D94" s="314">
        <v>967027.7</v>
      </c>
      <c r="E94" s="985"/>
      <c r="F94" s="985"/>
      <c r="G94" s="315">
        <v>966453.4</v>
      </c>
      <c r="H94" s="210">
        <v>42729</v>
      </c>
      <c r="I94" s="976"/>
      <c r="J94" s="316">
        <v>947503.24</v>
      </c>
      <c r="K94" s="316">
        <v>947503.24</v>
      </c>
      <c r="L94" s="976"/>
      <c r="M94" s="316"/>
      <c r="N94" s="317">
        <v>0.15</v>
      </c>
      <c r="O94" s="312"/>
      <c r="P94" s="176">
        <v>2017</v>
      </c>
      <c r="Q94" s="177"/>
      <c r="R94" s="132"/>
    </row>
    <row r="95" spans="1:22" ht="16.5" outlineLevel="1" x14ac:dyDescent="0.25">
      <c r="A95" s="1119"/>
      <c r="B95" s="1092"/>
      <c r="C95" s="281" t="s">
        <v>36</v>
      </c>
      <c r="D95" s="314">
        <v>490536.62</v>
      </c>
      <c r="E95" s="986"/>
      <c r="F95" s="986"/>
      <c r="G95" s="315">
        <v>490245.3</v>
      </c>
      <c r="H95" s="212">
        <v>42729</v>
      </c>
      <c r="I95" s="977"/>
      <c r="J95" s="316">
        <v>480632.83</v>
      </c>
      <c r="K95" s="316">
        <v>480632.83</v>
      </c>
      <c r="L95" s="977"/>
      <c r="M95" s="316"/>
      <c r="N95" s="256">
        <v>0.15</v>
      </c>
      <c r="O95" s="312"/>
      <c r="P95" s="176">
        <v>2017</v>
      </c>
      <c r="Q95" s="177"/>
      <c r="R95" s="132"/>
    </row>
    <row r="96" spans="1:22" ht="49.5" outlineLevel="1" x14ac:dyDescent="0.25">
      <c r="A96" s="1120"/>
      <c r="B96" s="1092"/>
      <c r="C96" s="294" t="s">
        <v>37</v>
      </c>
      <c r="D96" s="180">
        <f>166807.53*1.18</f>
        <v>196832.8854</v>
      </c>
      <c r="E96" s="181" t="s">
        <v>549</v>
      </c>
      <c r="F96" s="181" t="s">
        <v>534</v>
      </c>
      <c r="G96" s="230">
        <v>196832.89</v>
      </c>
      <c r="H96" s="183">
        <v>42388</v>
      </c>
      <c r="I96" s="183">
        <v>42350</v>
      </c>
      <c r="J96" s="184">
        <v>196832.89</v>
      </c>
      <c r="K96" s="184">
        <v>196832.88999999998</v>
      </c>
      <c r="L96" s="183"/>
      <c r="M96" s="184">
        <f>J96-D96</f>
        <v>4.6000000147614628E-3</v>
      </c>
      <c r="N96" s="318"/>
      <c r="O96" s="312"/>
      <c r="P96" s="176"/>
      <c r="Q96" s="177"/>
      <c r="R96" s="132"/>
    </row>
    <row r="97" spans="1:22" ht="17.25" outlineLevel="1" thickBot="1" x14ac:dyDescent="0.3">
      <c r="A97" s="1105" t="s">
        <v>628</v>
      </c>
      <c r="B97" s="1106"/>
      <c r="C97" s="284"/>
      <c r="D97" s="187">
        <f>SUM(D92:D96)</f>
        <v>7696596.6453999998</v>
      </c>
      <c r="E97" s="239"/>
      <c r="F97" s="239"/>
      <c r="G97" s="189">
        <f>SUM(G92:G96)</f>
        <v>7692142.6799999997</v>
      </c>
      <c r="H97" s="239"/>
      <c r="I97" s="203"/>
      <c r="J97" s="187">
        <f>SUM(J92:J96)</f>
        <v>7536397.3399999999</v>
      </c>
      <c r="K97" s="187">
        <f>SUM(K92:K96)</f>
        <v>7536397.3399999999</v>
      </c>
      <c r="L97" s="204"/>
      <c r="M97" s="187"/>
      <c r="N97" s="311">
        <f>AVERAGE(N92:N96)</f>
        <v>0.15</v>
      </c>
      <c r="O97" s="319"/>
      <c r="P97" s="195"/>
      <c r="Q97" s="196"/>
      <c r="R97" s="132"/>
    </row>
    <row r="98" spans="1:22" s="5" customFormat="1" ht="33" x14ac:dyDescent="0.25">
      <c r="A98" s="1109">
        <v>22</v>
      </c>
      <c r="B98" s="1091" t="s">
        <v>53</v>
      </c>
      <c r="C98" s="278" t="s">
        <v>500</v>
      </c>
      <c r="D98" s="159">
        <v>2381852.42</v>
      </c>
      <c r="E98" s="971" t="s">
        <v>1266</v>
      </c>
      <c r="F98" s="971" t="s">
        <v>770</v>
      </c>
      <c r="G98" s="160">
        <v>2380437.88</v>
      </c>
      <c r="H98" s="970">
        <v>42724</v>
      </c>
      <c r="I98" s="970">
        <v>42769</v>
      </c>
      <c r="J98" s="162">
        <v>2327357.62</v>
      </c>
      <c r="K98" s="199"/>
      <c r="L98" s="198"/>
      <c r="M98" s="199"/>
      <c r="N98" s="320">
        <v>0.15</v>
      </c>
      <c r="O98" s="279"/>
      <c r="P98" s="245">
        <v>2017</v>
      </c>
      <c r="Q98" s="252"/>
      <c r="R98" s="168"/>
      <c r="S98" s="19"/>
      <c r="T98" s="19"/>
      <c r="U98" s="19"/>
      <c r="V98" s="19"/>
    </row>
    <row r="99" spans="1:22" ht="49.5" outlineLevel="1" x14ac:dyDescent="0.25">
      <c r="A99" s="1110"/>
      <c r="B99" s="1092"/>
      <c r="C99" s="294" t="s">
        <v>37</v>
      </c>
      <c r="D99" s="180">
        <f>65267.91*1.18</f>
        <v>77016.133799999996</v>
      </c>
      <c r="E99" s="181" t="s">
        <v>556</v>
      </c>
      <c r="F99" s="181" t="s">
        <v>534</v>
      </c>
      <c r="G99" s="230">
        <v>77016.13</v>
      </c>
      <c r="H99" s="183">
        <v>42429</v>
      </c>
      <c r="I99" s="183">
        <v>42429</v>
      </c>
      <c r="J99" s="184">
        <v>77016.13</v>
      </c>
      <c r="K99" s="184">
        <v>77016.12999999999</v>
      </c>
      <c r="L99" s="183"/>
      <c r="M99" s="184">
        <f>J99-D99</f>
        <v>-3.799999991315417E-3</v>
      </c>
      <c r="N99" s="202"/>
      <c r="O99" s="186" t="s">
        <v>674</v>
      </c>
      <c r="P99" s="176"/>
      <c r="Q99" s="177"/>
      <c r="R99" s="132"/>
    </row>
    <row r="100" spans="1:22" ht="17.25" outlineLevel="1" thickBot="1" x14ac:dyDescent="0.3">
      <c r="A100" s="1105" t="s">
        <v>628</v>
      </c>
      <c r="B100" s="1106"/>
      <c r="C100" s="284"/>
      <c r="D100" s="187">
        <f>SUM(D98:D99)</f>
        <v>2458868.5537999999</v>
      </c>
      <c r="E100" s="239"/>
      <c r="F100" s="239"/>
      <c r="G100" s="189">
        <f>SUM(G98:G99)</f>
        <v>2457454.0099999998</v>
      </c>
      <c r="H100" s="239"/>
      <c r="I100" s="203"/>
      <c r="J100" s="187">
        <f>SUM(J98:J99)</f>
        <v>2404373.75</v>
      </c>
      <c r="K100" s="187">
        <f>SUM(K98:K99)</f>
        <v>77016.12999999999</v>
      </c>
      <c r="L100" s="204"/>
      <c r="M100" s="187"/>
      <c r="N100" s="231">
        <f>AVERAGE(N98:N99)</f>
        <v>0.15</v>
      </c>
      <c r="O100" s="285"/>
      <c r="P100" s="241"/>
      <c r="Q100" s="242"/>
      <c r="R100" s="132"/>
    </row>
    <row r="101" spans="1:22" s="5" customFormat="1" ht="33" x14ac:dyDescent="0.25">
      <c r="A101" s="1109">
        <v>23</v>
      </c>
      <c r="B101" s="1091" t="s">
        <v>54</v>
      </c>
      <c r="C101" s="278" t="s">
        <v>500</v>
      </c>
      <c r="D101" s="159">
        <v>3930630.92</v>
      </c>
      <c r="E101" s="971" t="s">
        <v>1266</v>
      </c>
      <c r="F101" s="971" t="s">
        <v>770</v>
      </c>
      <c r="G101" s="160">
        <v>3928356.56</v>
      </c>
      <c r="H101" s="970">
        <v>42724</v>
      </c>
      <c r="I101" s="970">
        <v>42769</v>
      </c>
      <c r="J101" s="162">
        <v>3738244.08</v>
      </c>
      <c r="K101" s="199"/>
      <c r="L101" s="198"/>
      <c r="M101" s="199"/>
      <c r="N101" s="164">
        <v>0.15</v>
      </c>
      <c r="O101" s="279"/>
      <c r="P101" s="166">
        <v>2017</v>
      </c>
      <c r="Q101" s="167"/>
      <c r="R101" s="168"/>
      <c r="S101" s="19"/>
      <c r="T101" s="19"/>
      <c r="U101" s="19"/>
      <c r="V101" s="19"/>
    </row>
    <row r="102" spans="1:22" ht="49.5" outlineLevel="1" x14ac:dyDescent="0.25">
      <c r="A102" s="1110"/>
      <c r="B102" s="1092"/>
      <c r="C102" s="294" t="s">
        <v>37</v>
      </c>
      <c r="D102" s="180">
        <f>78817.13*1.18</f>
        <v>93004.213400000008</v>
      </c>
      <c r="E102" s="181" t="s">
        <v>556</v>
      </c>
      <c r="F102" s="181" t="s">
        <v>534</v>
      </c>
      <c r="G102" s="230">
        <v>93004.21</v>
      </c>
      <c r="H102" s="183">
        <v>42429</v>
      </c>
      <c r="I102" s="183">
        <v>42429</v>
      </c>
      <c r="J102" s="184">
        <v>93004.21</v>
      </c>
      <c r="K102" s="184">
        <v>93004.209999999992</v>
      </c>
      <c r="L102" s="183"/>
      <c r="M102" s="184">
        <f>J102-D102</f>
        <v>-3.4000000014202669E-3</v>
      </c>
      <c r="N102" s="185"/>
      <c r="O102" s="186" t="s">
        <v>674</v>
      </c>
      <c r="P102" s="176"/>
      <c r="Q102" s="177"/>
      <c r="R102" s="132"/>
    </row>
    <row r="103" spans="1:22" ht="17.25" outlineLevel="1" thickBot="1" x14ac:dyDescent="0.3">
      <c r="A103" s="1116" t="s">
        <v>628</v>
      </c>
      <c r="B103" s="1117"/>
      <c r="C103" s="286"/>
      <c r="D103" s="187">
        <f>SUM(D101:D102)</f>
        <v>4023635.1333999997</v>
      </c>
      <c r="E103" s="247"/>
      <c r="F103" s="247"/>
      <c r="G103" s="189">
        <f>SUM(G101:G102)</f>
        <v>4021360.77</v>
      </c>
      <c r="H103" s="247"/>
      <c r="I103" s="277"/>
      <c r="J103" s="187">
        <f>SUM(J101:J102)</f>
        <v>3831248.29</v>
      </c>
      <c r="K103" s="187">
        <f>SUM(K101:K102)</f>
        <v>93004.209999999992</v>
      </c>
      <c r="L103" s="218"/>
      <c r="M103" s="214"/>
      <c r="N103" s="193">
        <f>AVERAGE(N101:N102)</f>
        <v>0.15</v>
      </c>
      <c r="O103" s="287"/>
      <c r="P103" s="195"/>
      <c r="Q103" s="196"/>
      <c r="R103" s="132"/>
    </row>
    <row r="104" spans="1:22" s="5" customFormat="1" ht="16.5" x14ac:dyDescent="0.25">
      <c r="A104" s="1109">
        <v>24</v>
      </c>
      <c r="B104" s="1091" t="s">
        <v>44</v>
      </c>
      <c r="C104" s="278" t="s">
        <v>38</v>
      </c>
      <c r="D104" s="159">
        <v>715635.78</v>
      </c>
      <c r="E104" s="984" t="s">
        <v>1266</v>
      </c>
      <c r="F104" s="984" t="s">
        <v>770</v>
      </c>
      <c r="G104" s="160">
        <v>715210.78</v>
      </c>
      <c r="H104" s="206">
        <v>42729</v>
      </c>
      <c r="I104" s="161">
        <v>42710</v>
      </c>
      <c r="J104" s="162">
        <v>701186.55</v>
      </c>
      <c r="K104" s="199">
        <v>701186.54999999993</v>
      </c>
      <c r="L104" s="198"/>
      <c r="M104" s="199"/>
      <c r="N104" s="232">
        <v>0.15</v>
      </c>
      <c r="O104" s="279"/>
      <c r="P104" s="245">
        <v>2017</v>
      </c>
      <c r="Q104" s="252"/>
      <c r="R104" s="168"/>
      <c r="S104" s="19"/>
      <c r="T104" s="19"/>
      <c r="U104" s="19"/>
      <c r="V104" s="19"/>
    </row>
    <row r="105" spans="1:22" ht="16.5" outlineLevel="1" x14ac:dyDescent="0.25">
      <c r="A105" s="1110"/>
      <c r="B105" s="1092"/>
      <c r="C105" s="281" t="s">
        <v>34</v>
      </c>
      <c r="D105" s="208">
        <v>3379691.1</v>
      </c>
      <c r="E105" s="985"/>
      <c r="F105" s="985"/>
      <c r="G105" s="209">
        <v>3379691.1</v>
      </c>
      <c r="H105" s="210">
        <v>42729</v>
      </c>
      <c r="I105" s="210">
        <v>42710</v>
      </c>
      <c r="J105" s="163">
        <v>3293248.5</v>
      </c>
      <c r="K105" s="163">
        <v>3293248.5</v>
      </c>
      <c r="L105" s="210"/>
      <c r="M105" s="163"/>
      <c r="N105" s="211">
        <v>0.15</v>
      </c>
      <c r="O105" s="282"/>
      <c r="P105" s="176">
        <v>2017</v>
      </c>
      <c r="Q105" s="177"/>
      <c r="R105" s="132"/>
    </row>
    <row r="106" spans="1:22" ht="16.5" outlineLevel="1" x14ac:dyDescent="0.25">
      <c r="A106" s="1110"/>
      <c r="B106" s="1092"/>
      <c r="C106" s="281" t="s">
        <v>35</v>
      </c>
      <c r="D106" s="208">
        <v>635253</v>
      </c>
      <c r="E106" s="985"/>
      <c r="F106" s="985"/>
      <c r="G106" s="209">
        <v>634875.73</v>
      </c>
      <c r="H106" s="210">
        <v>42729</v>
      </c>
      <c r="I106" s="210">
        <v>42710</v>
      </c>
      <c r="J106" s="163">
        <v>582210.6</v>
      </c>
      <c r="K106" s="163">
        <v>582210.60000000009</v>
      </c>
      <c r="L106" s="210"/>
      <c r="M106" s="163"/>
      <c r="N106" s="211">
        <v>0.15</v>
      </c>
      <c r="O106" s="282"/>
      <c r="P106" s="176">
        <v>2017</v>
      </c>
      <c r="Q106" s="177"/>
      <c r="R106" s="132"/>
    </row>
    <row r="107" spans="1:22" ht="16.5" outlineLevel="1" x14ac:dyDescent="0.25">
      <c r="A107" s="1110"/>
      <c r="B107" s="1092"/>
      <c r="C107" s="281" t="s">
        <v>36</v>
      </c>
      <c r="D107" s="208">
        <v>403748.8</v>
      </c>
      <c r="E107" s="986"/>
      <c r="F107" s="986"/>
      <c r="G107" s="209">
        <v>403509.72</v>
      </c>
      <c r="H107" s="212">
        <v>42729</v>
      </c>
      <c r="I107" s="212">
        <v>42710</v>
      </c>
      <c r="J107" s="163">
        <v>372847.24</v>
      </c>
      <c r="K107" s="163">
        <v>372847.24</v>
      </c>
      <c r="L107" s="210"/>
      <c r="M107" s="163"/>
      <c r="N107" s="211">
        <v>0.15</v>
      </c>
      <c r="O107" s="282"/>
      <c r="P107" s="176">
        <v>2017</v>
      </c>
      <c r="Q107" s="177"/>
      <c r="R107" s="132"/>
    </row>
    <row r="108" spans="1:22" ht="49.5" outlineLevel="1" x14ac:dyDescent="0.25">
      <c r="A108" s="1110"/>
      <c r="B108" s="1092"/>
      <c r="C108" s="294" t="s">
        <v>37</v>
      </c>
      <c r="D108" s="180">
        <f>146246.29*1.18</f>
        <v>172570.62220000001</v>
      </c>
      <c r="E108" s="181" t="s">
        <v>549</v>
      </c>
      <c r="F108" s="181" t="s">
        <v>534</v>
      </c>
      <c r="G108" s="230">
        <v>172570.62</v>
      </c>
      <c r="H108" s="183">
        <v>42388</v>
      </c>
      <c r="I108" s="183">
        <v>42350</v>
      </c>
      <c r="J108" s="184">
        <v>172570.62</v>
      </c>
      <c r="K108" s="184">
        <v>172570.62</v>
      </c>
      <c r="L108" s="183"/>
      <c r="M108" s="184">
        <f>J108-D108</f>
        <v>-2.2000000171829015E-3</v>
      </c>
      <c r="N108" s="237"/>
      <c r="O108" s="186" t="s">
        <v>674</v>
      </c>
      <c r="P108" s="176"/>
      <c r="Q108" s="177"/>
      <c r="R108" s="132"/>
    </row>
    <row r="109" spans="1:22" ht="17.25" outlineLevel="1" thickBot="1" x14ac:dyDescent="0.3">
      <c r="A109" s="1105" t="s">
        <v>628</v>
      </c>
      <c r="B109" s="1106"/>
      <c r="C109" s="284"/>
      <c r="D109" s="187">
        <f>SUM(D104:D108)</f>
        <v>5306899.3021999998</v>
      </c>
      <c r="E109" s="239"/>
      <c r="F109" s="239"/>
      <c r="G109" s="189">
        <f>SUM(G104:G108)</f>
        <v>5305857.9499999993</v>
      </c>
      <c r="H109" s="239"/>
      <c r="I109" s="321"/>
      <c r="J109" s="187">
        <f>SUM(J104:J108)</f>
        <v>5122063.51</v>
      </c>
      <c r="K109" s="187">
        <f>SUM(K104:K108)</f>
        <v>5122063.5100000007</v>
      </c>
      <c r="L109" s="204"/>
      <c r="M109" s="187"/>
      <c r="N109" s="193">
        <f>AVERAGE(N104:N108)</f>
        <v>0.15</v>
      </c>
      <c r="O109" s="285"/>
      <c r="P109" s="241"/>
      <c r="Q109" s="242"/>
      <c r="R109" s="132"/>
    </row>
    <row r="110" spans="1:22" s="5" customFormat="1" ht="16.5" x14ac:dyDescent="0.25">
      <c r="A110" s="1109">
        <v>25</v>
      </c>
      <c r="B110" s="1091" t="s">
        <v>24</v>
      </c>
      <c r="C110" s="278" t="s">
        <v>38</v>
      </c>
      <c r="D110" s="159">
        <v>715635.78</v>
      </c>
      <c r="E110" s="984" t="s">
        <v>1266</v>
      </c>
      <c r="F110" s="984" t="s">
        <v>770</v>
      </c>
      <c r="G110" s="160">
        <v>715210.78</v>
      </c>
      <c r="H110" s="161">
        <v>42729</v>
      </c>
      <c r="I110" s="161">
        <v>42710</v>
      </c>
      <c r="J110" s="162">
        <v>701186.55</v>
      </c>
      <c r="K110" s="199">
        <v>701186.54999999993</v>
      </c>
      <c r="L110" s="198"/>
      <c r="M110" s="199"/>
      <c r="N110" s="207">
        <v>0.1</v>
      </c>
      <c r="O110" s="279"/>
      <c r="P110" s="166">
        <v>2017</v>
      </c>
      <c r="Q110" s="167"/>
      <c r="R110" s="168"/>
      <c r="S110" s="19"/>
      <c r="T110" s="19"/>
      <c r="U110" s="19"/>
      <c r="V110" s="19"/>
    </row>
    <row r="111" spans="1:22" ht="16.5" outlineLevel="1" x14ac:dyDescent="0.25">
      <c r="A111" s="1110"/>
      <c r="B111" s="1092"/>
      <c r="C111" s="281" t="s">
        <v>34</v>
      </c>
      <c r="D111" s="208">
        <v>3379691.1</v>
      </c>
      <c r="E111" s="985"/>
      <c r="F111" s="985"/>
      <c r="G111" s="209">
        <v>3377683.96</v>
      </c>
      <c r="H111" s="210">
        <v>42729</v>
      </c>
      <c r="I111" s="210">
        <v>42710</v>
      </c>
      <c r="J111" s="163">
        <v>3155479.23</v>
      </c>
      <c r="K111" s="163">
        <v>3155479.23</v>
      </c>
      <c r="L111" s="210"/>
      <c r="M111" s="163"/>
      <c r="N111" s="211">
        <v>0.1</v>
      </c>
      <c r="O111" s="282"/>
      <c r="P111" s="322">
        <v>2017</v>
      </c>
      <c r="Q111" s="177"/>
      <c r="R111" s="132"/>
    </row>
    <row r="112" spans="1:22" ht="16.5" outlineLevel="1" x14ac:dyDescent="0.25">
      <c r="A112" s="1110"/>
      <c r="B112" s="1092"/>
      <c r="C112" s="281" t="s">
        <v>35</v>
      </c>
      <c r="D112" s="208">
        <v>635253</v>
      </c>
      <c r="E112" s="985"/>
      <c r="F112" s="985"/>
      <c r="G112" s="209">
        <v>634875.73</v>
      </c>
      <c r="H112" s="210">
        <v>42729</v>
      </c>
      <c r="I112" s="210">
        <v>42710</v>
      </c>
      <c r="J112" s="163">
        <v>609018.43000000005</v>
      </c>
      <c r="K112" s="163">
        <v>609018.43000000005</v>
      </c>
      <c r="L112" s="210"/>
      <c r="M112" s="163"/>
      <c r="N112" s="211">
        <v>0.1</v>
      </c>
      <c r="O112" s="282"/>
      <c r="P112" s="322">
        <v>2017</v>
      </c>
      <c r="Q112" s="177"/>
      <c r="R112" s="132"/>
    </row>
    <row r="113" spans="1:22" ht="16.5" outlineLevel="1" x14ac:dyDescent="0.25">
      <c r="A113" s="1110"/>
      <c r="B113" s="1092"/>
      <c r="C113" s="281" t="s">
        <v>36</v>
      </c>
      <c r="D113" s="208">
        <v>403748.8</v>
      </c>
      <c r="E113" s="986"/>
      <c r="F113" s="986"/>
      <c r="G113" s="209">
        <v>403508.32</v>
      </c>
      <c r="H113" s="210">
        <v>42729</v>
      </c>
      <c r="I113" s="212">
        <v>42710</v>
      </c>
      <c r="J113" s="163">
        <v>383769.91</v>
      </c>
      <c r="K113" s="163">
        <v>383769.91</v>
      </c>
      <c r="L113" s="210"/>
      <c r="M113" s="163"/>
      <c r="N113" s="211">
        <v>0.1</v>
      </c>
      <c r="O113" s="282"/>
      <c r="P113" s="322">
        <v>2017</v>
      </c>
      <c r="Q113" s="177"/>
      <c r="R113" s="132"/>
    </row>
    <row r="114" spans="1:22" ht="49.5" outlineLevel="1" x14ac:dyDescent="0.25">
      <c r="A114" s="1110"/>
      <c r="B114" s="1092"/>
      <c r="C114" s="294" t="s">
        <v>37</v>
      </c>
      <c r="D114" s="180">
        <f>144999.69*1.18</f>
        <v>171099.6342</v>
      </c>
      <c r="E114" s="181" t="s">
        <v>549</v>
      </c>
      <c r="F114" s="181" t="s">
        <v>534</v>
      </c>
      <c r="G114" s="230">
        <v>171099.63</v>
      </c>
      <c r="H114" s="183">
        <v>42388</v>
      </c>
      <c r="I114" s="183">
        <v>42350</v>
      </c>
      <c r="J114" s="184">
        <v>171099.63</v>
      </c>
      <c r="K114" s="184">
        <v>171099.63</v>
      </c>
      <c r="L114" s="183"/>
      <c r="M114" s="184">
        <f>J114-D114</f>
        <v>-4.1999999957624823E-3</v>
      </c>
      <c r="N114" s="202"/>
      <c r="O114" s="186" t="s">
        <v>674</v>
      </c>
      <c r="P114" s="176"/>
      <c r="Q114" s="177"/>
      <c r="R114" s="132"/>
    </row>
    <row r="115" spans="1:22" ht="17.25" outlineLevel="1" thickBot="1" x14ac:dyDescent="0.3">
      <c r="A115" s="1105" t="s">
        <v>628</v>
      </c>
      <c r="B115" s="1106"/>
      <c r="C115" s="284"/>
      <c r="D115" s="187">
        <f>SUM(D110:D114)</f>
        <v>5305428.3141999999</v>
      </c>
      <c r="E115" s="239"/>
      <c r="F115" s="239"/>
      <c r="G115" s="189">
        <f>SUM(G110:G114)</f>
        <v>5302378.4200000009</v>
      </c>
      <c r="H115" s="239"/>
      <c r="I115" s="321"/>
      <c r="J115" s="187">
        <f>SUM(J110:J114)</f>
        <v>5020553.75</v>
      </c>
      <c r="K115" s="187">
        <f>SUM(K110:K114)</f>
        <v>5020553.75</v>
      </c>
      <c r="L115" s="204"/>
      <c r="M115" s="187"/>
      <c r="N115" s="205">
        <f>AVERAGE(N110:N114)</f>
        <v>0.1</v>
      </c>
      <c r="O115" s="285"/>
      <c r="P115" s="195"/>
      <c r="Q115" s="196"/>
      <c r="R115" s="132"/>
    </row>
    <row r="116" spans="1:22" s="5" customFormat="1" ht="16.5" x14ac:dyDescent="0.25">
      <c r="A116" s="1109">
        <v>26</v>
      </c>
      <c r="B116" s="1091" t="s">
        <v>45</v>
      </c>
      <c r="C116" s="278" t="s">
        <v>38</v>
      </c>
      <c r="D116" s="159">
        <v>715635.78</v>
      </c>
      <c r="E116" s="984" t="s">
        <v>1266</v>
      </c>
      <c r="F116" s="984" t="s">
        <v>770</v>
      </c>
      <c r="G116" s="160">
        <v>715210.78</v>
      </c>
      <c r="H116" s="161">
        <v>42729</v>
      </c>
      <c r="I116" s="161">
        <v>42710</v>
      </c>
      <c r="J116" s="162">
        <v>701186.55</v>
      </c>
      <c r="K116" s="199">
        <v>701186.54999999993</v>
      </c>
      <c r="L116" s="198"/>
      <c r="M116" s="199"/>
      <c r="N116" s="200">
        <v>0.1</v>
      </c>
      <c r="O116" s="279"/>
      <c r="P116" s="245">
        <v>2017</v>
      </c>
      <c r="Q116" s="252"/>
      <c r="R116" s="168"/>
      <c r="S116" s="19"/>
      <c r="T116" s="19"/>
      <c r="U116" s="19"/>
      <c r="V116" s="19"/>
    </row>
    <row r="117" spans="1:22" ht="16.5" outlineLevel="1" x14ac:dyDescent="0.25">
      <c r="A117" s="1110"/>
      <c r="B117" s="1092"/>
      <c r="C117" s="281" t="s">
        <v>34</v>
      </c>
      <c r="D117" s="208">
        <v>3379691.1</v>
      </c>
      <c r="E117" s="985"/>
      <c r="F117" s="985"/>
      <c r="G117" s="209">
        <v>3377683.96</v>
      </c>
      <c r="H117" s="210">
        <v>42729</v>
      </c>
      <c r="I117" s="210">
        <v>42710</v>
      </c>
      <c r="J117" s="163">
        <v>3296567.05</v>
      </c>
      <c r="K117" s="163">
        <v>3296567.0500000003</v>
      </c>
      <c r="L117" s="210"/>
      <c r="M117" s="163"/>
      <c r="N117" s="207">
        <v>0.1</v>
      </c>
      <c r="O117" s="282"/>
      <c r="P117" s="322">
        <v>2017</v>
      </c>
      <c r="Q117" s="177"/>
      <c r="R117" s="132"/>
    </row>
    <row r="118" spans="1:22" ht="16.5" outlineLevel="1" x14ac:dyDescent="0.25">
      <c r="A118" s="1110"/>
      <c r="B118" s="1092"/>
      <c r="C118" s="281" t="s">
        <v>35</v>
      </c>
      <c r="D118" s="208">
        <v>635253</v>
      </c>
      <c r="E118" s="985"/>
      <c r="F118" s="985"/>
      <c r="G118" s="209">
        <v>634875.73</v>
      </c>
      <c r="H118" s="210">
        <v>42729</v>
      </c>
      <c r="I118" s="210">
        <v>42710</v>
      </c>
      <c r="J118" s="163">
        <v>611650.62</v>
      </c>
      <c r="K118" s="163">
        <v>611650.62</v>
      </c>
      <c r="L118" s="210"/>
      <c r="M118" s="163"/>
      <c r="N118" s="211">
        <v>0.1</v>
      </c>
      <c r="O118" s="282"/>
      <c r="P118" s="322">
        <v>2017</v>
      </c>
      <c r="Q118" s="177"/>
      <c r="R118" s="132"/>
    </row>
    <row r="119" spans="1:22" ht="16.5" outlineLevel="1" x14ac:dyDescent="0.25">
      <c r="A119" s="1110"/>
      <c r="B119" s="1092"/>
      <c r="C119" s="281" t="s">
        <v>36</v>
      </c>
      <c r="D119" s="208">
        <v>403748.8</v>
      </c>
      <c r="E119" s="986"/>
      <c r="F119" s="986"/>
      <c r="G119" s="209">
        <v>403509.02</v>
      </c>
      <c r="H119" s="210">
        <v>42729</v>
      </c>
      <c r="I119" s="212">
        <v>42710</v>
      </c>
      <c r="J119" s="163">
        <v>384675.8</v>
      </c>
      <c r="K119" s="163">
        <v>384675.8</v>
      </c>
      <c r="L119" s="210"/>
      <c r="M119" s="163"/>
      <c r="N119" s="213">
        <v>0.1</v>
      </c>
      <c r="O119" s="282"/>
      <c r="P119" s="322">
        <v>2017</v>
      </c>
      <c r="Q119" s="177"/>
      <c r="R119" s="132"/>
    </row>
    <row r="120" spans="1:22" ht="49.5" outlineLevel="1" x14ac:dyDescent="0.25">
      <c r="A120" s="1110"/>
      <c r="B120" s="1092"/>
      <c r="C120" s="294" t="s">
        <v>37</v>
      </c>
      <c r="D120" s="180">
        <f>144789.76*1.18</f>
        <v>170851.91680000001</v>
      </c>
      <c r="E120" s="181" t="s">
        <v>549</v>
      </c>
      <c r="F120" s="181" t="s">
        <v>534</v>
      </c>
      <c r="G120" s="230">
        <v>170851.92</v>
      </c>
      <c r="H120" s="183">
        <v>42388</v>
      </c>
      <c r="I120" s="183">
        <v>42350</v>
      </c>
      <c r="J120" s="184">
        <v>170851.92</v>
      </c>
      <c r="K120" s="184">
        <v>170851.91999999998</v>
      </c>
      <c r="L120" s="183"/>
      <c r="M120" s="184">
        <f>J120-D120</f>
        <v>3.2000000064726919E-3</v>
      </c>
      <c r="N120" s="185"/>
      <c r="O120" s="186" t="s">
        <v>674</v>
      </c>
      <c r="P120" s="176"/>
      <c r="Q120" s="177"/>
      <c r="R120" s="132"/>
    </row>
    <row r="121" spans="1:22" ht="17.25" outlineLevel="1" thickBot="1" x14ac:dyDescent="0.3">
      <c r="A121" s="1116" t="s">
        <v>628</v>
      </c>
      <c r="B121" s="1117"/>
      <c r="C121" s="286"/>
      <c r="D121" s="187">
        <f>SUM(D116:D120)</f>
        <v>5305180.5967999995</v>
      </c>
      <c r="E121" s="247"/>
      <c r="F121" s="247"/>
      <c r="G121" s="189">
        <f>SUM(G116:G120)</f>
        <v>5302131.41</v>
      </c>
      <c r="H121" s="247"/>
      <c r="I121" s="277"/>
      <c r="J121" s="187">
        <f>SUM(J116:J120)</f>
        <v>5164931.9399999995</v>
      </c>
      <c r="K121" s="187">
        <f>SUM(K116:K120)</f>
        <v>5164931.9399999995</v>
      </c>
      <c r="L121" s="218"/>
      <c r="M121" s="214"/>
      <c r="N121" s="193">
        <f>AVERAGE(N116:N120)</f>
        <v>0.1</v>
      </c>
      <c r="O121" s="287"/>
      <c r="P121" s="241"/>
      <c r="Q121" s="242"/>
      <c r="R121" s="132"/>
    </row>
    <row r="122" spans="1:22" s="5" customFormat="1" ht="16.5" x14ac:dyDescent="0.25">
      <c r="A122" s="1109">
        <v>27</v>
      </c>
      <c r="B122" s="1091" t="s">
        <v>46</v>
      </c>
      <c r="C122" s="278" t="s">
        <v>38</v>
      </c>
      <c r="D122" s="159">
        <v>430053.36</v>
      </c>
      <c r="E122" s="984" t="s">
        <v>1266</v>
      </c>
      <c r="F122" s="984" t="s">
        <v>770</v>
      </c>
      <c r="G122" s="160">
        <v>429797.96</v>
      </c>
      <c r="H122" s="161">
        <v>42729</v>
      </c>
      <c r="I122" s="975">
        <v>42710</v>
      </c>
      <c r="J122" s="162">
        <v>421370.68</v>
      </c>
      <c r="K122" s="162">
        <v>421370.68</v>
      </c>
      <c r="L122" s="975">
        <v>42724</v>
      </c>
      <c r="M122" s="199"/>
      <c r="N122" s="207">
        <v>0.1</v>
      </c>
      <c r="O122" s="279"/>
      <c r="P122" s="166">
        <v>2017</v>
      </c>
      <c r="Q122" s="167"/>
      <c r="R122" s="168"/>
      <c r="S122" s="19"/>
      <c r="T122" s="19"/>
      <c r="U122" s="19"/>
      <c r="V122" s="19"/>
    </row>
    <row r="123" spans="1:22" ht="16.5" outlineLevel="1" x14ac:dyDescent="0.25">
      <c r="A123" s="1110"/>
      <c r="B123" s="1092"/>
      <c r="C123" s="281" t="s">
        <v>34</v>
      </c>
      <c r="D123" s="208">
        <v>2427542.02</v>
      </c>
      <c r="E123" s="985"/>
      <c r="F123" s="985"/>
      <c r="G123" s="209">
        <v>2426100.35</v>
      </c>
      <c r="H123" s="210">
        <v>42729</v>
      </c>
      <c r="I123" s="978"/>
      <c r="J123" s="163">
        <v>1879845.41</v>
      </c>
      <c r="K123" s="163">
        <v>1879845.41</v>
      </c>
      <c r="L123" s="976"/>
      <c r="M123" s="163"/>
      <c r="N123" s="213">
        <v>0.1</v>
      </c>
      <c r="O123" s="282"/>
      <c r="P123" s="322">
        <v>2017</v>
      </c>
      <c r="Q123" s="177"/>
      <c r="R123" s="132"/>
    </row>
    <row r="124" spans="1:22" ht="16.5" outlineLevel="1" x14ac:dyDescent="0.25">
      <c r="A124" s="1110"/>
      <c r="B124" s="1092"/>
      <c r="C124" s="281" t="s">
        <v>35</v>
      </c>
      <c r="D124" s="208">
        <v>452736.5</v>
      </c>
      <c r="E124" s="985"/>
      <c r="F124" s="985"/>
      <c r="G124" s="209">
        <v>452467.63</v>
      </c>
      <c r="H124" s="210">
        <v>42729</v>
      </c>
      <c r="I124" s="978"/>
      <c r="J124" s="163">
        <v>443595.76</v>
      </c>
      <c r="K124" s="163">
        <v>443595.76</v>
      </c>
      <c r="L124" s="976"/>
      <c r="M124" s="163"/>
      <c r="N124" s="207">
        <v>0.1</v>
      </c>
      <c r="O124" s="282"/>
      <c r="P124" s="322">
        <v>2017</v>
      </c>
      <c r="Q124" s="177"/>
      <c r="R124" s="132"/>
    </row>
    <row r="125" spans="1:22" ht="16.5" outlineLevel="1" x14ac:dyDescent="0.25">
      <c r="A125" s="1110"/>
      <c r="B125" s="1092"/>
      <c r="C125" s="281" t="s">
        <v>36</v>
      </c>
      <c r="D125" s="208">
        <v>196065.26</v>
      </c>
      <c r="E125" s="986"/>
      <c r="F125" s="986"/>
      <c r="G125" s="209">
        <v>195948.82</v>
      </c>
      <c r="H125" s="210">
        <v>42729</v>
      </c>
      <c r="I125" s="979"/>
      <c r="J125" s="163">
        <v>192106.67</v>
      </c>
      <c r="K125" s="163">
        <v>192106.67</v>
      </c>
      <c r="L125" s="977"/>
      <c r="M125" s="163"/>
      <c r="N125" s="211">
        <v>0.1</v>
      </c>
      <c r="O125" s="282"/>
      <c r="P125" s="322">
        <v>2017</v>
      </c>
      <c r="Q125" s="177"/>
      <c r="R125" s="132"/>
    </row>
    <row r="126" spans="1:22" ht="49.5" outlineLevel="1" x14ac:dyDescent="0.25">
      <c r="A126" s="1110"/>
      <c r="B126" s="1092"/>
      <c r="C126" s="294" t="s">
        <v>37</v>
      </c>
      <c r="D126" s="180">
        <f>133807.27*1.18</f>
        <v>157892.57859999998</v>
      </c>
      <c r="E126" s="181" t="s">
        <v>549</v>
      </c>
      <c r="F126" s="181" t="s">
        <v>534</v>
      </c>
      <c r="G126" s="230">
        <v>157892.57999999999</v>
      </c>
      <c r="H126" s="183">
        <v>42388</v>
      </c>
      <c r="I126" s="183">
        <v>42350</v>
      </c>
      <c r="J126" s="184">
        <v>157892.57999999999</v>
      </c>
      <c r="K126" s="184">
        <v>157892.58000000002</v>
      </c>
      <c r="L126" s="183"/>
      <c r="M126" s="184">
        <f>J126-D126</f>
        <v>1.4000000082887709E-3</v>
      </c>
      <c r="N126" s="237"/>
      <c r="O126" s="186" t="s">
        <v>674</v>
      </c>
      <c r="P126" s="176"/>
      <c r="Q126" s="177"/>
      <c r="R126" s="132"/>
    </row>
    <row r="127" spans="1:22" ht="17.25" outlineLevel="1" thickBot="1" x14ac:dyDescent="0.3">
      <c r="A127" s="1105" t="s">
        <v>628</v>
      </c>
      <c r="B127" s="1106"/>
      <c r="C127" s="284"/>
      <c r="D127" s="187">
        <f>SUM(D122:D126)</f>
        <v>3664289.7185999998</v>
      </c>
      <c r="E127" s="239"/>
      <c r="F127" s="239"/>
      <c r="G127" s="189">
        <f>SUM(G122:G126)</f>
        <v>3662207.34</v>
      </c>
      <c r="H127" s="239"/>
      <c r="I127" s="321"/>
      <c r="J127" s="187">
        <f>SUM(J122:J126)</f>
        <v>3094811.0999999996</v>
      </c>
      <c r="K127" s="187">
        <f>SUM(K122:K126)</f>
        <v>3094811.0999999996</v>
      </c>
      <c r="L127" s="204"/>
      <c r="M127" s="187"/>
      <c r="N127" s="193">
        <f>AVERAGE(N122:N126)</f>
        <v>0.1</v>
      </c>
      <c r="O127" s="285"/>
      <c r="P127" s="195"/>
      <c r="Q127" s="196"/>
      <c r="R127" s="132"/>
    </row>
    <row r="128" spans="1:22" s="5" customFormat="1" ht="16.5" x14ac:dyDescent="0.25">
      <c r="A128" s="1109">
        <v>28</v>
      </c>
      <c r="B128" s="1121" t="s">
        <v>25</v>
      </c>
      <c r="C128" s="278" t="s">
        <v>38</v>
      </c>
      <c r="D128" s="159">
        <v>430053.36</v>
      </c>
      <c r="E128" s="984" t="s">
        <v>1266</v>
      </c>
      <c r="F128" s="984" t="s">
        <v>770</v>
      </c>
      <c r="G128" s="160">
        <v>429797.96</v>
      </c>
      <c r="H128" s="161">
        <v>42729</v>
      </c>
      <c r="I128" s="975">
        <v>42710</v>
      </c>
      <c r="J128" s="162">
        <v>421370.68</v>
      </c>
      <c r="K128" s="162">
        <v>421370.68</v>
      </c>
      <c r="L128" s="975">
        <v>42724</v>
      </c>
      <c r="M128" s="199"/>
      <c r="N128" s="232">
        <v>0.1</v>
      </c>
      <c r="O128" s="279"/>
      <c r="P128" s="245">
        <v>2017</v>
      </c>
      <c r="Q128" s="252"/>
      <c r="R128" s="168"/>
      <c r="S128" s="19"/>
      <c r="T128" s="19"/>
      <c r="U128" s="19"/>
      <c r="V128" s="19"/>
    </row>
    <row r="129" spans="1:22" ht="16.5" outlineLevel="1" x14ac:dyDescent="0.25">
      <c r="A129" s="1110"/>
      <c r="B129" s="1122"/>
      <c r="C129" s="281" t="s">
        <v>34</v>
      </c>
      <c r="D129" s="208">
        <v>2427542.02</v>
      </c>
      <c r="E129" s="985"/>
      <c r="F129" s="985"/>
      <c r="G129" s="209">
        <v>2426100.35</v>
      </c>
      <c r="H129" s="210">
        <v>42729</v>
      </c>
      <c r="I129" s="978"/>
      <c r="J129" s="163">
        <v>1879845.41</v>
      </c>
      <c r="K129" s="163">
        <v>1879845.41</v>
      </c>
      <c r="L129" s="976"/>
      <c r="M129" s="163"/>
      <c r="N129" s="211">
        <v>0.1</v>
      </c>
      <c r="O129" s="282"/>
      <c r="P129" s="322">
        <v>2017</v>
      </c>
      <c r="Q129" s="177"/>
      <c r="R129" s="132"/>
    </row>
    <row r="130" spans="1:22" ht="16.5" outlineLevel="1" x14ac:dyDescent="0.25">
      <c r="A130" s="1110"/>
      <c r="B130" s="1122"/>
      <c r="C130" s="281" t="s">
        <v>35</v>
      </c>
      <c r="D130" s="208">
        <v>452736.5</v>
      </c>
      <c r="E130" s="985"/>
      <c r="F130" s="985"/>
      <c r="G130" s="209">
        <v>452467.63</v>
      </c>
      <c r="H130" s="210">
        <v>42729</v>
      </c>
      <c r="I130" s="978"/>
      <c r="J130" s="163">
        <v>443595.76</v>
      </c>
      <c r="K130" s="163">
        <v>443595.76</v>
      </c>
      <c r="L130" s="976"/>
      <c r="M130" s="163"/>
      <c r="N130" s="211">
        <v>0.1</v>
      </c>
      <c r="O130" s="282"/>
      <c r="P130" s="322">
        <v>2017</v>
      </c>
      <c r="Q130" s="177"/>
      <c r="R130" s="132"/>
    </row>
    <row r="131" spans="1:22" ht="16.5" outlineLevel="1" x14ac:dyDescent="0.25">
      <c r="A131" s="1110"/>
      <c r="B131" s="1122"/>
      <c r="C131" s="281" t="s">
        <v>36</v>
      </c>
      <c r="D131" s="208">
        <v>196065.26</v>
      </c>
      <c r="E131" s="986"/>
      <c r="F131" s="986"/>
      <c r="G131" s="209">
        <v>195948.82</v>
      </c>
      <c r="H131" s="210">
        <v>42729</v>
      </c>
      <c r="I131" s="979"/>
      <c r="J131" s="163">
        <v>192106.67</v>
      </c>
      <c r="K131" s="163">
        <v>192106.67</v>
      </c>
      <c r="L131" s="977"/>
      <c r="M131" s="163"/>
      <c r="N131" s="211">
        <v>0.1</v>
      </c>
      <c r="O131" s="282"/>
      <c r="P131" s="322">
        <v>2017</v>
      </c>
      <c r="Q131" s="177"/>
      <c r="R131" s="132"/>
    </row>
    <row r="132" spans="1:22" ht="49.5" outlineLevel="1" x14ac:dyDescent="0.25">
      <c r="A132" s="1110"/>
      <c r="B132" s="1122"/>
      <c r="C132" s="294" t="s">
        <v>37</v>
      </c>
      <c r="D132" s="180">
        <f>134057.3*1.18</f>
        <v>158187.61399999997</v>
      </c>
      <c r="E132" s="181" t="s">
        <v>549</v>
      </c>
      <c r="F132" s="181" t="s">
        <v>534</v>
      </c>
      <c r="G132" s="230">
        <v>158187.60999999999</v>
      </c>
      <c r="H132" s="183">
        <v>42388</v>
      </c>
      <c r="I132" s="183">
        <v>42350</v>
      </c>
      <c r="J132" s="184">
        <v>158187.60999999999</v>
      </c>
      <c r="K132" s="184">
        <v>158187.60999999999</v>
      </c>
      <c r="L132" s="183"/>
      <c r="M132" s="184">
        <f>J132-D132</f>
        <v>-3.999999986262992E-3</v>
      </c>
      <c r="N132" s="202"/>
      <c r="O132" s="186" t="s">
        <v>674</v>
      </c>
      <c r="P132" s="176"/>
      <c r="Q132" s="177"/>
      <c r="R132" s="132"/>
    </row>
    <row r="133" spans="1:22" ht="17.25" outlineLevel="1" thickBot="1" x14ac:dyDescent="0.3">
      <c r="A133" s="1105" t="s">
        <v>628</v>
      </c>
      <c r="B133" s="1106"/>
      <c r="C133" s="284"/>
      <c r="D133" s="187">
        <f>SUM(D128:D132)</f>
        <v>3664584.7539999997</v>
      </c>
      <c r="E133" s="239"/>
      <c r="F133" s="239"/>
      <c r="G133" s="189">
        <f>SUM(G128:G132)</f>
        <v>3662502.3699999996</v>
      </c>
      <c r="H133" s="239"/>
      <c r="I133" s="321"/>
      <c r="J133" s="187">
        <f>SUM(J128:J132)</f>
        <v>3095106.1299999994</v>
      </c>
      <c r="K133" s="187">
        <f>SUM(K128:K132)</f>
        <v>3095106.1299999994</v>
      </c>
      <c r="L133" s="204"/>
      <c r="M133" s="187"/>
      <c r="N133" s="193">
        <f>AVERAGE(N128:N132)</f>
        <v>0.1</v>
      </c>
      <c r="O133" s="285"/>
      <c r="P133" s="241"/>
      <c r="Q133" s="242"/>
      <c r="R133" s="132"/>
    </row>
    <row r="134" spans="1:22" s="8" customFormat="1" ht="19.5" customHeight="1" outlineLevel="1" x14ac:dyDescent="0.25">
      <c r="A134" s="323"/>
      <c r="B134" s="1040" t="s">
        <v>1097</v>
      </c>
      <c r="C134" s="1041"/>
      <c r="D134" s="324">
        <v>2135337</v>
      </c>
      <c r="E134" s="325"/>
      <c r="F134" s="326"/>
      <c r="G134" s="327">
        <f>SUM(G135:G144)</f>
        <v>2135337</v>
      </c>
      <c r="H134" s="328"/>
      <c r="I134" s="329"/>
      <c r="J134" s="324"/>
      <c r="K134" s="324"/>
      <c r="L134" s="330"/>
      <c r="M134" s="324"/>
      <c r="N134" s="331"/>
      <c r="O134" s="332"/>
      <c r="P134" s="333"/>
      <c r="Q134" s="334"/>
      <c r="R134" s="335"/>
      <c r="S134" s="2"/>
      <c r="T134" s="2"/>
      <c r="U134" s="2"/>
      <c r="V134" s="2"/>
    </row>
    <row r="135" spans="1:22" s="25" customFormat="1" ht="49.5" outlineLevel="1" x14ac:dyDescent="0.25">
      <c r="A135" s="336"/>
      <c r="B135" s="336" t="s">
        <v>1452</v>
      </c>
      <c r="C135" s="337" t="s">
        <v>37</v>
      </c>
      <c r="D135" s="338"/>
      <c r="E135" s="999" t="s">
        <v>1460</v>
      </c>
      <c r="F135" s="1000" t="s">
        <v>1415</v>
      </c>
      <c r="G135" s="339">
        <v>382819.16</v>
      </c>
      <c r="H135" s="1133">
        <v>42766</v>
      </c>
      <c r="I135" s="172"/>
      <c r="J135" s="338"/>
      <c r="K135" s="338"/>
      <c r="L135" s="340"/>
      <c r="M135" s="338"/>
      <c r="N135" s="341"/>
      <c r="O135" s="342"/>
      <c r="P135" s="343"/>
      <c r="Q135" s="173"/>
      <c r="R135" s="335"/>
      <c r="S135" s="2"/>
      <c r="T135" s="2"/>
      <c r="U135" s="2"/>
      <c r="V135" s="2"/>
    </row>
    <row r="136" spans="1:22" s="25" customFormat="1" ht="49.5" outlineLevel="1" x14ac:dyDescent="0.25">
      <c r="A136" s="336"/>
      <c r="B136" s="336" t="s">
        <v>1453</v>
      </c>
      <c r="C136" s="337" t="s">
        <v>37</v>
      </c>
      <c r="D136" s="338"/>
      <c r="E136" s="999"/>
      <c r="F136" s="1000"/>
      <c r="G136" s="339">
        <v>86277.47</v>
      </c>
      <c r="H136" s="1133"/>
      <c r="I136" s="172"/>
      <c r="J136" s="338"/>
      <c r="K136" s="338"/>
      <c r="L136" s="340"/>
      <c r="M136" s="338"/>
      <c r="N136" s="341"/>
      <c r="O136" s="342"/>
      <c r="P136" s="343"/>
      <c r="Q136" s="173"/>
      <c r="R136" s="335"/>
      <c r="S136" s="2"/>
      <c r="T136" s="2"/>
      <c r="U136" s="2"/>
      <c r="V136" s="2"/>
    </row>
    <row r="137" spans="1:22" s="25" customFormat="1" ht="49.5" outlineLevel="1" x14ac:dyDescent="0.25">
      <c r="A137" s="336"/>
      <c r="B137" s="336" t="s">
        <v>41</v>
      </c>
      <c r="C137" s="337" t="s">
        <v>37</v>
      </c>
      <c r="D137" s="338"/>
      <c r="E137" s="999"/>
      <c r="F137" s="1000"/>
      <c r="G137" s="339">
        <v>89011.14</v>
      </c>
      <c r="H137" s="1133"/>
      <c r="I137" s="172"/>
      <c r="J137" s="338"/>
      <c r="K137" s="338"/>
      <c r="L137" s="340"/>
      <c r="M137" s="338"/>
      <c r="N137" s="341"/>
      <c r="O137" s="342"/>
      <c r="P137" s="343"/>
      <c r="Q137" s="173"/>
      <c r="R137" s="335"/>
      <c r="S137" s="2"/>
      <c r="T137" s="2"/>
      <c r="U137" s="2"/>
      <c r="V137" s="2"/>
    </row>
    <row r="138" spans="1:22" s="25" customFormat="1" ht="49.5" outlineLevel="1" x14ac:dyDescent="0.25">
      <c r="A138" s="336"/>
      <c r="B138" s="336" t="s">
        <v>1454</v>
      </c>
      <c r="C138" s="337" t="s">
        <v>37</v>
      </c>
      <c r="D138" s="338"/>
      <c r="E138" s="999"/>
      <c r="F138" s="1000"/>
      <c r="G138" s="339">
        <v>76592.42</v>
      </c>
      <c r="H138" s="1133"/>
      <c r="I138" s="172"/>
      <c r="J138" s="338"/>
      <c r="K138" s="338"/>
      <c r="L138" s="340"/>
      <c r="M138" s="338"/>
      <c r="N138" s="341"/>
      <c r="O138" s="342"/>
      <c r="P138" s="343"/>
      <c r="Q138" s="173"/>
      <c r="R138" s="335"/>
      <c r="S138" s="2"/>
      <c r="T138" s="2"/>
      <c r="U138" s="2"/>
      <c r="V138" s="2"/>
    </row>
    <row r="139" spans="1:22" s="25" customFormat="1" ht="49.5" outlineLevel="1" x14ac:dyDescent="0.25">
      <c r="A139" s="336"/>
      <c r="B139" s="336" t="s">
        <v>1455</v>
      </c>
      <c r="C139" s="337" t="s">
        <v>37</v>
      </c>
      <c r="D139" s="338"/>
      <c r="E139" s="999"/>
      <c r="F139" s="1000"/>
      <c r="G139" s="339">
        <v>299845.74</v>
      </c>
      <c r="H139" s="1133"/>
      <c r="I139" s="172"/>
      <c r="J139" s="338"/>
      <c r="K139" s="338"/>
      <c r="L139" s="340"/>
      <c r="M139" s="338"/>
      <c r="N139" s="341"/>
      <c r="O139" s="342"/>
      <c r="P139" s="343"/>
      <c r="Q139" s="173"/>
      <c r="R139" s="335"/>
      <c r="S139" s="2"/>
      <c r="T139" s="2"/>
      <c r="U139" s="2"/>
      <c r="V139" s="2"/>
    </row>
    <row r="140" spans="1:22" s="25" customFormat="1" ht="49.5" outlineLevel="1" x14ac:dyDescent="0.25">
      <c r="A140" s="336"/>
      <c r="B140" s="336" t="s">
        <v>1018</v>
      </c>
      <c r="C140" s="337" t="s">
        <v>37</v>
      </c>
      <c r="D140" s="338"/>
      <c r="E140" s="999"/>
      <c r="F140" s="1000"/>
      <c r="G140" s="339">
        <v>188861.34</v>
      </c>
      <c r="H140" s="1133"/>
      <c r="I140" s="172"/>
      <c r="J140" s="338"/>
      <c r="K140" s="338"/>
      <c r="L140" s="340"/>
      <c r="M140" s="338"/>
      <c r="N140" s="341"/>
      <c r="O140" s="342"/>
      <c r="P140" s="343"/>
      <c r="Q140" s="173"/>
      <c r="R140" s="335"/>
      <c r="S140" s="2"/>
      <c r="T140" s="2"/>
      <c r="U140" s="2"/>
      <c r="V140" s="2"/>
    </row>
    <row r="141" spans="1:22" s="25" customFormat="1" ht="49.5" outlineLevel="1" x14ac:dyDescent="0.25">
      <c r="A141" s="336"/>
      <c r="B141" s="336" t="s">
        <v>1456</v>
      </c>
      <c r="C141" s="337" t="s">
        <v>37</v>
      </c>
      <c r="D141" s="338"/>
      <c r="E141" s="999"/>
      <c r="F141" s="1000"/>
      <c r="G141" s="339">
        <v>307381.62</v>
      </c>
      <c r="H141" s="1133"/>
      <c r="I141" s="172"/>
      <c r="J141" s="338"/>
      <c r="K141" s="338"/>
      <c r="L141" s="340"/>
      <c r="M141" s="338"/>
      <c r="N141" s="341"/>
      <c r="O141" s="342"/>
      <c r="P141" s="343"/>
      <c r="Q141" s="173"/>
      <c r="R141" s="335"/>
      <c r="S141" s="2"/>
      <c r="T141" s="2"/>
      <c r="U141" s="2"/>
      <c r="V141" s="2"/>
    </row>
    <row r="142" spans="1:22" s="25" customFormat="1" ht="49.5" outlineLevel="1" x14ac:dyDescent="0.25">
      <c r="A142" s="336"/>
      <c r="B142" s="336" t="s">
        <v>1457</v>
      </c>
      <c r="C142" s="337" t="s">
        <v>37</v>
      </c>
      <c r="D142" s="338"/>
      <c r="E142" s="999"/>
      <c r="F142" s="1000"/>
      <c r="G142" s="339">
        <v>200000.34</v>
      </c>
      <c r="H142" s="1133"/>
      <c r="I142" s="172"/>
      <c r="J142" s="338"/>
      <c r="K142" s="338"/>
      <c r="L142" s="340"/>
      <c r="M142" s="338"/>
      <c r="N142" s="341"/>
      <c r="O142" s="342"/>
      <c r="P142" s="343"/>
      <c r="Q142" s="173"/>
      <c r="R142" s="335"/>
      <c r="S142" s="2"/>
      <c r="T142" s="2"/>
      <c r="U142" s="2"/>
      <c r="V142" s="2"/>
    </row>
    <row r="143" spans="1:22" s="25" customFormat="1" ht="26.25" customHeight="1" outlineLevel="1" x14ac:dyDescent="0.25">
      <c r="A143" s="336"/>
      <c r="B143" s="336" t="s">
        <v>1458</v>
      </c>
      <c r="C143" s="337" t="s">
        <v>37</v>
      </c>
      <c r="D143" s="338"/>
      <c r="E143" s="999"/>
      <c r="F143" s="1000"/>
      <c r="G143" s="339">
        <v>249117.77</v>
      </c>
      <c r="H143" s="1133"/>
      <c r="I143" s="172"/>
      <c r="J143" s="338"/>
      <c r="K143" s="338"/>
      <c r="L143" s="340"/>
      <c r="M143" s="338"/>
      <c r="N143" s="341"/>
      <c r="O143" s="342"/>
      <c r="P143" s="343"/>
      <c r="Q143" s="173"/>
      <c r="R143" s="335"/>
      <c r="S143" s="2"/>
      <c r="T143" s="2"/>
      <c r="U143" s="2"/>
      <c r="V143" s="2"/>
    </row>
    <row r="144" spans="1:22" s="25" customFormat="1" ht="19.5" customHeight="1" outlineLevel="1" x14ac:dyDescent="0.25">
      <c r="A144" s="336"/>
      <c r="B144" s="336" t="s">
        <v>1459</v>
      </c>
      <c r="C144" s="337" t="s">
        <v>37</v>
      </c>
      <c r="D144" s="338"/>
      <c r="E144" s="999"/>
      <c r="F144" s="1000"/>
      <c r="G144" s="339">
        <v>255430</v>
      </c>
      <c r="H144" s="1133"/>
      <c r="I144" s="172"/>
      <c r="J144" s="338"/>
      <c r="K144" s="338"/>
      <c r="L144" s="340"/>
      <c r="M144" s="338"/>
      <c r="N144" s="341"/>
      <c r="O144" s="342"/>
      <c r="P144" s="343"/>
      <c r="Q144" s="173"/>
      <c r="R144" s="335"/>
      <c r="S144" s="2"/>
      <c r="T144" s="2"/>
      <c r="U144" s="2"/>
      <c r="V144" s="2"/>
    </row>
    <row r="145" spans="1:22" ht="17.25" outlineLevel="1" thickBot="1" x14ac:dyDescent="0.3">
      <c r="A145" s="1014" t="s">
        <v>629</v>
      </c>
      <c r="B145" s="1015"/>
      <c r="C145" s="344"/>
      <c r="D145" s="345">
        <f>SUM(D133,D127,D121,D115,D109,D103,D100,D97,D85,D79,D76,D73,D70,D67,D59,D51,D48,D40,D37,D34,D31,D28,D25,D19,D14,D11,D45,D91,D134)</f>
        <v>145350576.07920003</v>
      </c>
      <c r="E145" s="346"/>
      <c r="F145" s="346"/>
      <c r="G145" s="345">
        <f>SUM(G133,G127,G121,G115,G109,G103,G100,G97,G85,G79,G76,G73,G70,G67,G59,G51,G48,G40,G37,G34,G31,G28,G25,G19,G14,G11,G45,G91,G134)</f>
        <v>155784082.9752</v>
      </c>
      <c r="H145" s="346"/>
      <c r="I145" s="347"/>
      <c r="J145" s="345">
        <f>SUM(J133,J127,J121,J115,J109,J103,J100,J97,J85,J79,J76,J73,J70,J67,J59,J51,J48,J40,J37,J34,J31,J28,J25,J19,J14,J11,J45,J91)</f>
        <v>118366059.889</v>
      </c>
      <c r="K145" s="345">
        <f>SUM(K133,K127,K121,K115,K109,K103,K100,K97,K85,K79,K76,K73,K70,K67,K59,K51,K48,K40,K37,K34,K31,K28,K25,K19,K14,K11,K45,K91)</f>
        <v>112300458.18800002</v>
      </c>
      <c r="L145" s="348"/>
      <c r="M145" s="349"/>
      <c r="N145" s="155">
        <f>AVERAGE(N133,N127,N121,N115,N109,N103,N100,N97,N85,N79,N76,N73,N70,N67,N59,N51,N40,N37,N34,N31,N28,N25,N48,N19,N14,N11)</f>
        <v>0.50384615384615394</v>
      </c>
      <c r="O145" s="350"/>
      <c r="P145" s="351"/>
      <c r="Q145" s="352"/>
      <c r="R145" s="132"/>
    </row>
    <row r="146" spans="1:22" s="5" customFormat="1" ht="24.75" customHeight="1" thickBot="1" x14ac:dyDescent="0.3">
      <c r="A146" s="1048" t="s">
        <v>630</v>
      </c>
      <c r="B146" s="1049"/>
      <c r="C146" s="1049"/>
      <c r="D146" s="1049"/>
      <c r="E146" s="1049"/>
      <c r="F146" s="1049"/>
      <c r="G146" s="1049"/>
      <c r="H146" s="1049"/>
      <c r="I146" s="1049"/>
      <c r="J146" s="1049"/>
      <c r="K146" s="1049"/>
      <c r="L146" s="1049"/>
      <c r="M146" s="1049"/>
      <c r="N146" s="1049"/>
      <c r="O146" s="1049"/>
      <c r="P146" s="141"/>
      <c r="Q146" s="147"/>
      <c r="R146" s="168"/>
      <c r="S146" s="19"/>
      <c r="T146" s="19"/>
      <c r="U146" s="19"/>
      <c r="V146" s="19"/>
    </row>
    <row r="147" spans="1:22" s="5" customFormat="1" ht="30" customHeight="1" x14ac:dyDescent="0.25">
      <c r="A147" s="1027">
        <v>1</v>
      </c>
      <c r="B147" s="1025" t="s">
        <v>58</v>
      </c>
      <c r="C147" s="197" t="s">
        <v>38</v>
      </c>
      <c r="D147" s="162">
        <v>661631.02</v>
      </c>
      <c r="E147" s="984" t="s">
        <v>887</v>
      </c>
      <c r="F147" s="984" t="s">
        <v>750</v>
      </c>
      <c r="G147" s="353">
        <v>802241.41</v>
      </c>
      <c r="H147" s="161">
        <v>42554</v>
      </c>
      <c r="I147" s="161">
        <v>42607</v>
      </c>
      <c r="J147" s="162">
        <v>661631.02</v>
      </c>
      <c r="K147" s="162">
        <v>661631.02</v>
      </c>
      <c r="L147" s="161"/>
      <c r="M147" s="162"/>
      <c r="N147" s="200">
        <v>1</v>
      </c>
      <c r="O147" s="227"/>
      <c r="P147" s="245"/>
      <c r="Q147" s="252"/>
      <c r="R147" s="132"/>
      <c r="S147" s="18"/>
      <c r="T147" s="18"/>
      <c r="U147" s="19"/>
      <c r="V147" s="19"/>
    </row>
    <row r="148" spans="1:22" ht="16.5" outlineLevel="1" x14ac:dyDescent="0.25">
      <c r="A148" s="1028"/>
      <c r="B148" s="1026"/>
      <c r="C148" s="253" t="s">
        <v>34</v>
      </c>
      <c r="D148" s="163">
        <v>2273437.3199999998</v>
      </c>
      <c r="E148" s="985"/>
      <c r="F148" s="985"/>
      <c r="G148" s="354">
        <v>2941914.29</v>
      </c>
      <c r="H148" s="210">
        <v>42579</v>
      </c>
      <c r="I148" s="210">
        <v>42618</v>
      </c>
      <c r="J148" s="163">
        <v>2273437.3199999998</v>
      </c>
      <c r="K148" s="163">
        <v>2273437.3199999998</v>
      </c>
      <c r="L148" s="210"/>
      <c r="M148" s="163"/>
      <c r="N148" s="213">
        <v>1</v>
      </c>
      <c r="O148" s="355"/>
      <c r="P148" s="176"/>
      <c r="Q148" s="177"/>
      <c r="R148" s="132"/>
    </row>
    <row r="149" spans="1:22" ht="16.5" outlineLevel="1" x14ac:dyDescent="0.25">
      <c r="A149" s="1028"/>
      <c r="B149" s="1026"/>
      <c r="C149" s="253" t="s">
        <v>35</v>
      </c>
      <c r="D149" s="163">
        <v>497111.93</v>
      </c>
      <c r="E149" s="985"/>
      <c r="F149" s="985"/>
      <c r="G149" s="354">
        <v>670846.76</v>
      </c>
      <c r="H149" s="210">
        <v>42574</v>
      </c>
      <c r="I149" s="210">
        <v>42655</v>
      </c>
      <c r="J149" s="163">
        <v>497111.93</v>
      </c>
      <c r="K149" s="163">
        <v>497111.93</v>
      </c>
      <c r="L149" s="210"/>
      <c r="M149" s="163"/>
      <c r="N149" s="213">
        <v>1</v>
      </c>
      <c r="O149" s="355"/>
      <c r="P149" s="176"/>
      <c r="Q149" s="177"/>
      <c r="R149" s="132"/>
    </row>
    <row r="150" spans="1:22" ht="16.5" outlineLevel="1" x14ac:dyDescent="0.25">
      <c r="A150" s="1028"/>
      <c r="B150" s="1026"/>
      <c r="C150" s="253" t="s">
        <v>500</v>
      </c>
      <c r="D150" s="163">
        <v>3934564.27</v>
      </c>
      <c r="E150" s="986"/>
      <c r="F150" s="986"/>
      <c r="G150" s="354">
        <v>4013313.4</v>
      </c>
      <c r="H150" s="210">
        <v>42587</v>
      </c>
      <c r="I150" s="210">
        <v>42618</v>
      </c>
      <c r="J150" s="163">
        <v>3934564.27</v>
      </c>
      <c r="K150" s="163">
        <v>3934564.27</v>
      </c>
      <c r="L150" s="210"/>
      <c r="M150" s="163"/>
      <c r="N150" s="213">
        <v>1</v>
      </c>
      <c r="O150" s="355"/>
      <c r="P150" s="176"/>
      <c r="Q150" s="177"/>
      <c r="R150" s="132"/>
    </row>
    <row r="151" spans="1:22" ht="49.5" outlineLevel="1" x14ac:dyDescent="0.25">
      <c r="A151" s="1028"/>
      <c r="B151" s="1026"/>
      <c r="C151" s="356" t="s">
        <v>37</v>
      </c>
      <c r="D151" s="357">
        <f>263134.1*1.18</f>
        <v>310498.23799999995</v>
      </c>
      <c r="E151" s="358" t="s">
        <v>558</v>
      </c>
      <c r="F151" s="358" t="s">
        <v>548</v>
      </c>
      <c r="G151" s="359">
        <f>263134.1*1.18</f>
        <v>310498.23799999995</v>
      </c>
      <c r="H151" s="360">
        <v>42424</v>
      </c>
      <c r="I151" s="360">
        <v>42415</v>
      </c>
      <c r="J151" s="361">
        <v>310498.24</v>
      </c>
      <c r="K151" s="361">
        <v>310498.24</v>
      </c>
      <c r="L151" s="360"/>
      <c r="M151" s="361">
        <f>J151-D151</f>
        <v>2.0000000367872417E-3</v>
      </c>
      <c r="N151" s="362"/>
      <c r="O151" s="363" t="s">
        <v>675</v>
      </c>
      <c r="P151" s="176"/>
      <c r="Q151" s="177"/>
      <c r="R151" s="132"/>
    </row>
    <row r="152" spans="1:22" ht="17.25" outlineLevel="1" thickBot="1" x14ac:dyDescent="0.3">
      <c r="A152" s="1006" t="s">
        <v>628</v>
      </c>
      <c r="B152" s="1007"/>
      <c r="C152" s="364"/>
      <c r="D152" s="365">
        <f>SUM(D147:D151)</f>
        <v>7677242.7779999999</v>
      </c>
      <c r="E152" s="188"/>
      <c r="F152" s="188"/>
      <c r="G152" s="366">
        <f>SUM(G147:G151)</f>
        <v>8738814.0979999993</v>
      </c>
      <c r="H152" s="188"/>
      <c r="I152" s="190"/>
      <c r="J152" s="365">
        <f>SUM(J147:J151)</f>
        <v>7677242.7800000003</v>
      </c>
      <c r="K152" s="365">
        <f>SUM(K147:K151)</f>
        <v>7677242.7800000003</v>
      </c>
      <c r="L152" s="367"/>
      <c r="M152" s="365"/>
      <c r="N152" s="368">
        <f>AVERAGE(N147:N151)</f>
        <v>1</v>
      </c>
      <c r="O152" s="369"/>
      <c r="P152" s="176"/>
      <c r="Q152" s="177"/>
      <c r="R152" s="168"/>
      <c r="S152" s="19"/>
      <c r="T152" s="19"/>
    </row>
    <row r="153" spans="1:22" s="5" customFormat="1" ht="30.75" customHeight="1" x14ac:dyDescent="0.25">
      <c r="A153" s="1027">
        <v>2</v>
      </c>
      <c r="B153" s="1025" t="s">
        <v>64</v>
      </c>
      <c r="C153" s="197" t="s">
        <v>500</v>
      </c>
      <c r="D153" s="162">
        <v>4315413.93</v>
      </c>
      <c r="E153" s="197" t="s">
        <v>887</v>
      </c>
      <c r="F153" s="197" t="s">
        <v>750</v>
      </c>
      <c r="G153" s="353">
        <v>4317264.7</v>
      </c>
      <c r="H153" s="161">
        <v>42593</v>
      </c>
      <c r="I153" s="161">
        <v>42608</v>
      </c>
      <c r="J153" s="162">
        <v>4315413.9299999988</v>
      </c>
      <c r="K153" s="162">
        <v>4315413.9299999988</v>
      </c>
      <c r="L153" s="161"/>
      <c r="M153" s="162"/>
      <c r="N153" s="200">
        <v>1</v>
      </c>
      <c r="O153" s="370"/>
      <c r="P153" s="176"/>
      <c r="Q153" s="177"/>
      <c r="R153" s="132"/>
      <c r="S153" s="18"/>
      <c r="T153" s="18"/>
      <c r="U153" s="19"/>
      <c r="V153" s="19"/>
    </row>
    <row r="154" spans="1:22" ht="49.5" outlineLevel="1" x14ac:dyDescent="0.25">
      <c r="A154" s="1028"/>
      <c r="B154" s="1026"/>
      <c r="C154" s="294" t="s">
        <v>37</v>
      </c>
      <c r="D154" s="180">
        <v>73865.48</v>
      </c>
      <c r="E154" s="181" t="s">
        <v>555</v>
      </c>
      <c r="F154" s="181" t="s">
        <v>554</v>
      </c>
      <c r="G154" s="182">
        <f>62597.86*1.18</f>
        <v>73865.474799999996</v>
      </c>
      <c r="H154" s="183">
        <v>42429</v>
      </c>
      <c r="I154" s="183">
        <v>42383</v>
      </c>
      <c r="J154" s="184">
        <v>73865.48</v>
      </c>
      <c r="K154" s="184">
        <v>73865.48</v>
      </c>
      <c r="L154" s="183"/>
      <c r="M154" s="184">
        <f>J154-D154</f>
        <v>0</v>
      </c>
      <c r="N154" s="202"/>
      <c r="O154" s="186" t="s">
        <v>675</v>
      </c>
      <c r="P154" s="176"/>
      <c r="Q154" s="177"/>
      <c r="R154" s="132"/>
    </row>
    <row r="155" spans="1:22" ht="17.25" outlineLevel="1" thickBot="1" x14ac:dyDescent="0.3">
      <c r="A155" s="1006" t="s">
        <v>628</v>
      </c>
      <c r="B155" s="1007"/>
      <c r="C155" s="364"/>
      <c r="D155" s="365">
        <f>SUM(D153:D154)</f>
        <v>4389279.41</v>
      </c>
      <c r="E155" s="188"/>
      <c r="F155" s="188"/>
      <c r="G155" s="366">
        <f>SUM(G153:G154)</f>
        <v>4391130.1748000002</v>
      </c>
      <c r="H155" s="188"/>
      <c r="I155" s="190"/>
      <c r="J155" s="365">
        <f>SUM(J153:J154)</f>
        <v>4389279.4099999992</v>
      </c>
      <c r="K155" s="365">
        <f>SUM(K153:K154)</f>
        <v>4389279.4099999992</v>
      </c>
      <c r="L155" s="367"/>
      <c r="M155" s="365"/>
      <c r="N155" s="368">
        <f>AVERAGE(N153:N154)</f>
        <v>1</v>
      </c>
      <c r="O155" s="369"/>
      <c r="P155" s="176"/>
      <c r="Q155" s="177"/>
      <c r="R155" s="168"/>
      <c r="S155" s="19"/>
      <c r="T155" s="19"/>
    </row>
    <row r="156" spans="1:22" s="5" customFormat="1" ht="33" x14ac:dyDescent="0.25">
      <c r="A156" s="1027">
        <v>3</v>
      </c>
      <c r="B156" s="1025" t="s">
        <v>59</v>
      </c>
      <c r="C156" s="371" t="s">
        <v>501</v>
      </c>
      <c r="D156" s="372">
        <v>5390000</v>
      </c>
      <c r="E156" s="373" t="s">
        <v>1166</v>
      </c>
      <c r="F156" s="373" t="s">
        <v>750</v>
      </c>
      <c r="G156" s="374">
        <v>4290153.55</v>
      </c>
      <c r="H156" s="179">
        <v>42811</v>
      </c>
      <c r="I156" s="375"/>
      <c r="J156" s="221"/>
      <c r="K156" s="221"/>
      <c r="L156" s="223"/>
      <c r="M156" s="221"/>
      <c r="N156" s="376">
        <v>0</v>
      </c>
      <c r="O156" s="370"/>
      <c r="P156" s="176">
        <v>2017</v>
      </c>
      <c r="Q156" s="177"/>
      <c r="R156" s="132"/>
      <c r="S156" s="18"/>
      <c r="T156" s="18"/>
      <c r="U156" s="19"/>
      <c r="V156" s="19"/>
    </row>
    <row r="157" spans="1:22" ht="49.5" outlineLevel="1" x14ac:dyDescent="0.25">
      <c r="A157" s="1028"/>
      <c r="B157" s="1026"/>
      <c r="C157" s="356" t="s">
        <v>37</v>
      </c>
      <c r="D157" s="357">
        <f>88506.22*1.18</f>
        <v>104437.33959999999</v>
      </c>
      <c r="E157" s="358" t="s">
        <v>558</v>
      </c>
      <c r="F157" s="358" t="s">
        <v>548</v>
      </c>
      <c r="G157" s="359">
        <f>88506.22*1.18</f>
        <v>104437.33959999999</v>
      </c>
      <c r="H157" s="360">
        <v>42424</v>
      </c>
      <c r="I157" s="360">
        <v>42415</v>
      </c>
      <c r="J157" s="361">
        <v>104437.34</v>
      </c>
      <c r="K157" s="361">
        <v>104437.34</v>
      </c>
      <c r="L157" s="360"/>
      <c r="M157" s="361">
        <f>J157-D157</f>
        <v>4.0000000444706529E-4</v>
      </c>
      <c r="N157" s="362"/>
      <c r="O157" s="363" t="s">
        <v>675</v>
      </c>
      <c r="P157" s="176"/>
      <c r="Q157" s="177"/>
      <c r="R157" s="132"/>
    </row>
    <row r="158" spans="1:22" ht="17.25" outlineLevel="1" thickBot="1" x14ac:dyDescent="0.3">
      <c r="A158" s="1010" t="s">
        <v>628</v>
      </c>
      <c r="B158" s="1011"/>
      <c r="C158" s="377"/>
      <c r="D158" s="378">
        <f>SUM(D156:D157)</f>
        <v>5494437.3395999996</v>
      </c>
      <c r="E158" s="247"/>
      <c r="F158" s="247"/>
      <c r="G158" s="379">
        <f>SUM(G156:G157)</f>
        <v>4394590.8895999994</v>
      </c>
      <c r="H158" s="247"/>
      <c r="I158" s="277"/>
      <c r="J158" s="378">
        <f>SUM(J156:J157)</f>
        <v>104437.34</v>
      </c>
      <c r="K158" s="378">
        <f>SUM(K156:K157)</f>
        <v>104437.34</v>
      </c>
      <c r="L158" s="380"/>
      <c r="M158" s="378"/>
      <c r="N158" s="368">
        <f>AVERAGE(N156:N157)</f>
        <v>0</v>
      </c>
      <c r="O158" s="381"/>
      <c r="P158" s="176"/>
      <c r="Q158" s="177"/>
      <c r="R158" s="132"/>
    </row>
    <row r="159" spans="1:22" s="5" customFormat="1" ht="33" x14ac:dyDescent="0.25">
      <c r="A159" s="1027">
        <v>4</v>
      </c>
      <c r="B159" s="1025" t="s">
        <v>65</v>
      </c>
      <c r="C159" s="197" t="s">
        <v>500</v>
      </c>
      <c r="D159" s="162">
        <v>3888108.91</v>
      </c>
      <c r="E159" s="197" t="s">
        <v>887</v>
      </c>
      <c r="F159" s="197" t="s">
        <v>750</v>
      </c>
      <c r="G159" s="353">
        <v>3888203.07</v>
      </c>
      <c r="H159" s="161">
        <v>42549</v>
      </c>
      <c r="I159" s="161">
        <v>42580</v>
      </c>
      <c r="J159" s="162">
        <v>3888108.91</v>
      </c>
      <c r="K159" s="162">
        <v>3888108.91</v>
      </c>
      <c r="L159" s="161"/>
      <c r="M159" s="162"/>
      <c r="N159" s="200">
        <v>1</v>
      </c>
      <c r="O159" s="370"/>
      <c r="P159" s="176"/>
      <c r="Q159" s="177"/>
      <c r="R159" s="132"/>
      <c r="S159" s="18"/>
      <c r="T159" s="18"/>
      <c r="U159" s="19"/>
      <c r="V159" s="19"/>
    </row>
    <row r="160" spans="1:22" ht="49.5" outlineLevel="1" x14ac:dyDescent="0.25">
      <c r="A160" s="1028"/>
      <c r="B160" s="1026"/>
      <c r="C160" s="294" t="s">
        <v>37</v>
      </c>
      <c r="D160" s="180">
        <f>94384.03*1.18</f>
        <v>111373.15539999999</v>
      </c>
      <c r="E160" s="181" t="s">
        <v>555</v>
      </c>
      <c r="F160" s="181" t="s">
        <v>554</v>
      </c>
      <c r="G160" s="182">
        <f>94384.03*1.18</f>
        <v>111373.15539999999</v>
      </c>
      <c r="H160" s="183">
        <v>42429</v>
      </c>
      <c r="I160" s="183">
        <v>42383</v>
      </c>
      <c r="J160" s="184">
        <v>111373.15</v>
      </c>
      <c r="K160" s="184">
        <v>111373.15</v>
      </c>
      <c r="L160" s="183"/>
      <c r="M160" s="184">
        <f>J160-D160</f>
        <v>-5.3999999945517629E-3</v>
      </c>
      <c r="N160" s="202"/>
      <c r="O160" s="186" t="s">
        <v>675</v>
      </c>
      <c r="P160" s="176"/>
      <c r="Q160" s="177"/>
      <c r="R160" s="168"/>
      <c r="S160" s="19"/>
      <c r="T160" s="19"/>
    </row>
    <row r="161" spans="1:22" ht="17.25" outlineLevel="1" thickBot="1" x14ac:dyDescent="0.3">
      <c r="A161" s="1006" t="s">
        <v>628</v>
      </c>
      <c r="B161" s="1007"/>
      <c r="C161" s="364"/>
      <c r="D161" s="365">
        <f>SUM(D159:D160)</f>
        <v>3999482.0654000002</v>
      </c>
      <c r="E161" s="239"/>
      <c r="F161" s="239"/>
      <c r="G161" s="366">
        <f>SUM(G159:G160)</f>
        <v>3999576.2253999999</v>
      </c>
      <c r="H161" s="239"/>
      <c r="I161" s="321"/>
      <c r="J161" s="365">
        <f>SUM(J159:J160)</f>
        <v>3999482.06</v>
      </c>
      <c r="K161" s="365">
        <f>SUM(K159:K160)</f>
        <v>3999482.06</v>
      </c>
      <c r="L161" s="367"/>
      <c r="M161" s="365"/>
      <c r="N161" s="368">
        <f>AVERAGE(N159:N160)</f>
        <v>1</v>
      </c>
      <c r="O161" s="369"/>
      <c r="P161" s="176"/>
      <c r="Q161" s="177"/>
      <c r="R161" s="132"/>
    </row>
    <row r="162" spans="1:22" s="5" customFormat="1" ht="33" x14ac:dyDescent="0.25">
      <c r="A162" s="1027">
        <v>5</v>
      </c>
      <c r="B162" s="1025" t="s">
        <v>66</v>
      </c>
      <c r="C162" s="197" t="s">
        <v>500</v>
      </c>
      <c r="D162" s="162">
        <v>3767581.23</v>
      </c>
      <c r="E162" s="197" t="s">
        <v>887</v>
      </c>
      <c r="F162" s="197" t="s">
        <v>750</v>
      </c>
      <c r="G162" s="353">
        <v>3767619.35</v>
      </c>
      <c r="H162" s="161">
        <v>42571</v>
      </c>
      <c r="I162" s="161">
        <v>42580</v>
      </c>
      <c r="J162" s="162">
        <v>3767581.2299999995</v>
      </c>
      <c r="K162" s="162">
        <v>3767581.2299999995</v>
      </c>
      <c r="L162" s="161"/>
      <c r="M162" s="162"/>
      <c r="N162" s="200">
        <v>1</v>
      </c>
      <c r="O162" s="370"/>
      <c r="P162" s="176"/>
      <c r="Q162" s="177"/>
      <c r="R162" s="132"/>
      <c r="S162" s="18"/>
      <c r="T162" s="18"/>
      <c r="U162" s="19"/>
      <c r="V162" s="19"/>
    </row>
    <row r="163" spans="1:22" ht="49.5" outlineLevel="1" x14ac:dyDescent="0.25">
      <c r="A163" s="1028"/>
      <c r="B163" s="1026"/>
      <c r="C163" s="294" t="s">
        <v>37</v>
      </c>
      <c r="D163" s="180">
        <f>58956.74*1.18</f>
        <v>69568.953199999989</v>
      </c>
      <c r="E163" s="181" t="s">
        <v>555</v>
      </c>
      <c r="F163" s="181" t="s">
        <v>554</v>
      </c>
      <c r="G163" s="182">
        <f>58956.74*1.18</f>
        <v>69568.953199999989</v>
      </c>
      <c r="H163" s="183">
        <v>42429</v>
      </c>
      <c r="I163" s="183">
        <v>42383</v>
      </c>
      <c r="J163" s="184">
        <v>69568.95</v>
      </c>
      <c r="K163" s="184">
        <v>69568.95</v>
      </c>
      <c r="L163" s="183"/>
      <c r="M163" s="184">
        <f>J163-D163</f>
        <v>-3.1999999919207767E-3</v>
      </c>
      <c r="N163" s="202"/>
      <c r="O163" s="186" t="s">
        <v>675</v>
      </c>
      <c r="P163" s="176"/>
      <c r="Q163" s="177"/>
      <c r="R163" s="132"/>
    </row>
    <row r="164" spans="1:22" ht="17.25" outlineLevel="1" thickBot="1" x14ac:dyDescent="0.3">
      <c r="A164" s="1006" t="s">
        <v>628</v>
      </c>
      <c r="B164" s="1007"/>
      <c r="C164" s="364"/>
      <c r="D164" s="365">
        <f>SUM(D162:D163)</f>
        <v>3837150.1831999999</v>
      </c>
      <c r="E164" s="239"/>
      <c r="F164" s="239"/>
      <c r="G164" s="366">
        <f>SUM(G162:G163)</f>
        <v>3837188.3032</v>
      </c>
      <c r="H164" s="239"/>
      <c r="I164" s="321"/>
      <c r="J164" s="365">
        <f>SUM(J162:J163)</f>
        <v>3837150.1799999997</v>
      </c>
      <c r="K164" s="365">
        <f>SUM(K162:K163)</f>
        <v>3837150.1799999997</v>
      </c>
      <c r="L164" s="367"/>
      <c r="M164" s="365"/>
      <c r="N164" s="368">
        <f>AVERAGE(N162:N163)</f>
        <v>1</v>
      </c>
      <c r="O164" s="369"/>
      <c r="P164" s="176"/>
      <c r="Q164" s="177"/>
      <c r="R164" s="132"/>
    </row>
    <row r="165" spans="1:22" s="5" customFormat="1" ht="33" x14ac:dyDescent="0.25">
      <c r="A165" s="1027">
        <v>6</v>
      </c>
      <c r="B165" s="1025" t="s">
        <v>67</v>
      </c>
      <c r="C165" s="197" t="s">
        <v>500</v>
      </c>
      <c r="D165" s="162">
        <v>4428195.5599999996</v>
      </c>
      <c r="E165" s="197" t="s">
        <v>887</v>
      </c>
      <c r="F165" s="197" t="s">
        <v>750</v>
      </c>
      <c r="G165" s="353">
        <v>4106698.3</v>
      </c>
      <c r="H165" s="161">
        <v>42601</v>
      </c>
      <c r="I165" s="161">
        <v>42598</v>
      </c>
      <c r="J165" s="162">
        <v>4428195.5599999996</v>
      </c>
      <c r="K165" s="162">
        <v>4428195.5599999996</v>
      </c>
      <c r="L165" s="161"/>
      <c r="M165" s="162"/>
      <c r="N165" s="200">
        <v>1</v>
      </c>
      <c r="O165" s="370"/>
      <c r="P165" s="176"/>
      <c r="Q165" s="177"/>
      <c r="R165" s="132"/>
      <c r="S165" s="18"/>
      <c r="T165" s="18"/>
      <c r="U165" s="19"/>
      <c r="V165" s="19"/>
    </row>
    <row r="166" spans="1:22" ht="49.5" outlineLevel="1" x14ac:dyDescent="0.25">
      <c r="A166" s="1028"/>
      <c r="B166" s="1026"/>
      <c r="C166" s="294" t="s">
        <v>37</v>
      </c>
      <c r="D166" s="180">
        <f>67030.9*1.18</f>
        <v>79096.461999999985</v>
      </c>
      <c r="E166" s="181" t="s">
        <v>555</v>
      </c>
      <c r="F166" s="181" t="s">
        <v>554</v>
      </c>
      <c r="G166" s="182">
        <f>67030.9*1.18</f>
        <v>79096.461999999985</v>
      </c>
      <c r="H166" s="183">
        <v>42429</v>
      </c>
      <c r="I166" s="183">
        <v>42383</v>
      </c>
      <c r="J166" s="184">
        <v>79096.460000000006</v>
      </c>
      <c r="K166" s="184">
        <v>79096.459999999992</v>
      </c>
      <c r="L166" s="183"/>
      <c r="M166" s="184">
        <f>J166-D166</f>
        <v>-1.9999999785795808E-3</v>
      </c>
      <c r="N166" s="202"/>
      <c r="O166" s="186" t="s">
        <v>675</v>
      </c>
      <c r="P166" s="176"/>
      <c r="Q166" s="177"/>
      <c r="R166" s="168"/>
      <c r="S166" s="19"/>
      <c r="T166" s="19"/>
    </row>
    <row r="167" spans="1:22" ht="17.25" outlineLevel="1" thickBot="1" x14ac:dyDescent="0.3">
      <c r="A167" s="1006" t="s">
        <v>628</v>
      </c>
      <c r="B167" s="1007"/>
      <c r="C167" s="364"/>
      <c r="D167" s="365">
        <f>SUM(D165:D166)</f>
        <v>4507292.0219999999</v>
      </c>
      <c r="E167" s="239"/>
      <c r="F167" s="239"/>
      <c r="G167" s="366">
        <f>SUM(G165:G166)</f>
        <v>4185794.7619999996</v>
      </c>
      <c r="H167" s="239"/>
      <c r="I167" s="321"/>
      <c r="J167" s="365">
        <f>SUM(J165:J166)</f>
        <v>4507292.0199999996</v>
      </c>
      <c r="K167" s="365">
        <f>SUM(K165:K166)</f>
        <v>4507292.0199999996</v>
      </c>
      <c r="L167" s="367"/>
      <c r="M167" s="365"/>
      <c r="N167" s="368">
        <f>AVERAGE(N165:N166)</f>
        <v>1</v>
      </c>
      <c r="O167" s="369"/>
      <c r="P167" s="176"/>
      <c r="Q167" s="177"/>
      <c r="R167" s="132"/>
    </row>
    <row r="168" spans="1:22" s="5" customFormat="1" ht="33" x14ac:dyDescent="0.25">
      <c r="A168" s="1027">
        <v>7</v>
      </c>
      <c r="B168" s="1025" t="s">
        <v>68</v>
      </c>
      <c r="C168" s="197" t="s">
        <v>500</v>
      </c>
      <c r="D168" s="162">
        <v>3220316.88</v>
      </c>
      <c r="E168" s="197" t="s">
        <v>887</v>
      </c>
      <c r="F168" s="197" t="s">
        <v>750</v>
      </c>
      <c r="G168" s="353">
        <v>3221048.89</v>
      </c>
      <c r="H168" s="161">
        <v>42549</v>
      </c>
      <c r="I168" s="161">
        <v>42580</v>
      </c>
      <c r="J168" s="162">
        <v>3220316.88</v>
      </c>
      <c r="K168" s="162">
        <v>3220316.88</v>
      </c>
      <c r="L168" s="161"/>
      <c r="M168" s="162"/>
      <c r="N168" s="200">
        <v>1</v>
      </c>
      <c r="O168" s="370"/>
      <c r="P168" s="176"/>
      <c r="Q168" s="177"/>
      <c r="R168" s="132"/>
      <c r="S168" s="18"/>
      <c r="T168" s="18"/>
      <c r="U168" s="19"/>
      <c r="V168" s="19"/>
    </row>
    <row r="169" spans="1:22" ht="49.5" outlineLevel="1" x14ac:dyDescent="0.25">
      <c r="A169" s="1028"/>
      <c r="B169" s="1026"/>
      <c r="C169" s="294" t="s">
        <v>37</v>
      </c>
      <c r="D169" s="180">
        <f>62254.17*1.18</f>
        <v>73459.920599999998</v>
      </c>
      <c r="E169" s="181" t="s">
        <v>555</v>
      </c>
      <c r="F169" s="181" t="s">
        <v>554</v>
      </c>
      <c r="G169" s="182">
        <f>62254.17*1.18</f>
        <v>73459.920599999998</v>
      </c>
      <c r="H169" s="183">
        <v>42429</v>
      </c>
      <c r="I169" s="183">
        <v>42383</v>
      </c>
      <c r="J169" s="184">
        <v>73459.92</v>
      </c>
      <c r="K169" s="184">
        <v>73459.92</v>
      </c>
      <c r="L169" s="183"/>
      <c r="M169" s="184">
        <f>J169-D169</f>
        <v>-5.9999999939464033E-4</v>
      </c>
      <c r="N169" s="202"/>
      <c r="O169" s="186" t="s">
        <v>675</v>
      </c>
      <c r="P169" s="176"/>
      <c r="Q169" s="177"/>
      <c r="R169" s="168"/>
      <c r="S169" s="19"/>
      <c r="T169" s="19"/>
    </row>
    <row r="170" spans="1:22" ht="17.25" outlineLevel="1" thickBot="1" x14ac:dyDescent="0.3">
      <c r="A170" s="1006" t="s">
        <v>628</v>
      </c>
      <c r="B170" s="1007"/>
      <c r="C170" s="364"/>
      <c r="D170" s="365">
        <f>SUM(D168:D169)</f>
        <v>3293776.8005999997</v>
      </c>
      <c r="E170" s="239"/>
      <c r="F170" s="239"/>
      <c r="G170" s="366">
        <f>SUM(G168:G169)</f>
        <v>3294508.8106</v>
      </c>
      <c r="H170" s="239"/>
      <c r="I170" s="321"/>
      <c r="J170" s="365">
        <f>SUM(J168:J169)</f>
        <v>3293776.8</v>
      </c>
      <c r="K170" s="365">
        <f>SUM(K168:K169)</f>
        <v>3293776.8</v>
      </c>
      <c r="L170" s="367"/>
      <c r="M170" s="365"/>
      <c r="N170" s="368">
        <f>AVERAGE(N168:N169)</f>
        <v>1</v>
      </c>
      <c r="O170" s="369"/>
      <c r="P170" s="176"/>
      <c r="Q170" s="177"/>
      <c r="R170" s="132"/>
    </row>
    <row r="171" spans="1:22" s="69" customFormat="1" ht="33" x14ac:dyDescent="0.25">
      <c r="A171" s="1027">
        <v>8</v>
      </c>
      <c r="B171" s="1025" t="s">
        <v>69</v>
      </c>
      <c r="C171" s="197" t="s">
        <v>500</v>
      </c>
      <c r="D171" s="162">
        <v>3223100.32</v>
      </c>
      <c r="E171" s="197" t="s">
        <v>887</v>
      </c>
      <c r="F171" s="197" t="s">
        <v>750</v>
      </c>
      <c r="G171" s="353">
        <v>3225763.8169999998</v>
      </c>
      <c r="H171" s="161">
        <v>42604</v>
      </c>
      <c r="I171" s="161">
        <v>42608</v>
      </c>
      <c r="J171" s="162">
        <v>3223100.3199999994</v>
      </c>
      <c r="K171" s="162">
        <v>3223100.3199999994</v>
      </c>
      <c r="L171" s="161"/>
      <c r="M171" s="162"/>
      <c r="N171" s="200">
        <v>1</v>
      </c>
      <c r="O171" s="382"/>
      <c r="P171" s="176"/>
      <c r="Q171" s="177"/>
      <c r="R171" s="383"/>
      <c r="S171" s="67"/>
      <c r="T171" s="67"/>
      <c r="U171" s="68"/>
      <c r="V171" s="68"/>
    </row>
    <row r="172" spans="1:22" ht="49.5" outlineLevel="1" x14ac:dyDescent="0.25">
      <c r="A172" s="1028"/>
      <c r="B172" s="1026"/>
      <c r="C172" s="294" t="s">
        <v>37</v>
      </c>
      <c r="D172" s="180">
        <f>81121.15*1.18</f>
        <v>95722.956999999995</v>
      </c>
      <c r="E172" s="181" t="s">
        <v>555</v>
      </c>
      <c r="F172" s="181" t="s">
        <v>554</v>
      </c>
      <c r="G172" s="182">
        <f>81121.15*1.18</f>
        <v>95722.956999999995</v>
      </c>
      <c r="H172" s="183">
        <v>42429</v>
      </c>
      <c r="I172" s="183">
        <v>42383</v>
      </c>
      <c r="J172" s="184">
        <v>95722.96</v>
      </c>
      <c r="K172" s="184">
        <v>95722.959999999992</v>
      </c>
      <c r="L172" s="183"/>
      <c r="M172" s="184">
        <f>J172-D172</f>
        <v>3.0000000115251169E-3</v>
      </c>
      <c r="N172" s="202"/>
      <c r="O172" s="186" t="s">
        <v>675</v>
      </c>
      <c r="P172" s="176"/>
      <c r="Q172" s="177"/>
      <c r="R172" s="132"/>
    </row>
    <row r="173" spans="1:22" ht="17.25" outlineLevel="1" thickBot="1" x14ac:dyDescent="0.3">
      <c r="A173" s="1010" t="s">
        <v>628</v>
      </c>
      <c r="B173" s="1011"/>
      <c r="C173" s="377"/>
      <c r="D173" s="378">
        <f>SUM(D171:D172)</f>
        <v>3318823.2769999998</v>
      </c>
      <c r="E173" s="215"/>
      <c r="F173" s="215"/>
      <c r="G173" s="379">
        <f>SUM(G171:G172)</f>
        <v>3321486.7739999997</v>
      </c>
      <c r="H173" s="215"/>
      <c r="I173" s="384"/>
      <c r="J173" s="378">
        <f>SUM(J171:J172)</f>
        <v>3318823.2799999993</v>
      </c>
      <c r="K173" s="378">
        <f>SUM(K171:K172)</f>
        <v>3318823.2799999993</v>
      </c>
      <c r="L173" s="380"/>
      <c r="M173" s="378"/>
      <c r="N173" s="368">
        <f>AVERAGE(N171:N172)</f>
        <v>1</v>
      </c>
      <c r="O173" s="381"/>
      <c r="P173" s="176"/>
      <c r="Q173" s="177"/>
      <c r="R173" s="168"/>
      <c r="S173" s="19"/>
      <c r="T173" s="19"/>
    </row>
    <row r="174" spans="1:22" s="5" customFormat="1" ht="30" customHeight="1" x14ac:dyDescent="0.25">
      <c r="A174" s="1027">
        <v>9</v>
      </c>
      <c r="B174" s="1025" t="s">
        <v>60</v>
      </c>
      <c r="C174" s="197" t="s">
        <v>34</v>
      </c>
      <c r="D174" s="162">
        <v>1465958.6</v>
      </c>
      <c r="E174" s="984" t="s">
        <v>887</v>
      </c>
      <c r="F174" s="984" t="s">
        <v>750</v>
      </c>
      <c r="G174" s="353">
        <v>1735045.69</v>
      </c>
      <c r="H174" s="161">
        <v>42550</v>
      </c>
      <c r="I174" s="161">
        <v>42627</v>
      </c>
      <c r="J174" s="162">
        <v>1465958.6</v>
      </c>
      <c r="K174" s="162">
        <v>1465958.6</v>
      </c>
      <c r="L174" s="161"/>
      <c r="M174" s="162"/>
      <c r="N174" s="200">
        <v>1</v>
      </c>
      <c r="O174" s="370"/>
      <c r="P174" s="176"/>
      <c r="Q174" s="177"/>
      <c r="R174" s="132"/>
      <c r="S174" s="18"/>
      <c r="T174" s="18"/>
      <c r="U174" s="19"/>
      <c r="V174" s="19"/>
    </row>
    <row r="175" spans="1:22" s="14" customFormat="1" ht="16.5" outlineLevel="1" x14ac:dyDescent="0.25">
      <c r="A175" s="1028"/>
      <c r="B175" s="1026"/>
      <c r="C175" s="253" t="s">
        <v>35</v>
      </c>
      <c r="D175" s="163">
        <v>244714.3</v>
      </c>
      <c r="E175" s="986"/>
      <c r="F175" s="986"/>
      <c r="G175" s="354">
        <v>322109.26</v>
      </c>
      <c r="H175" s="210">
        <v>42559</v>
      </c>
      <c r="I175" s="210">
        <v>42607</v>
      </c>
      <c r="J175" s="163">
        <v>244714.3</v>
      </c>
      <c r="K175" s="163">
        <v>244714.3</v>
      </c>
      <c r="L175" s="210"/>
      <c r="M175" s="163"/>
      <c r="N175" s="213">
        <v>1</v>
      </c>
      <c r="O175" s="355"/>
      <c r="P175" s="176"/>
      <c r="Q175" s="177"/>
      <c r="R175" s="132"/>
      <c r="S175" s="18"/>
      <c r="T175" s="18"/>
      <c r="U175" s="18"/>
      <c r="V175" s="18"/>
    </row>
    <row r="176" spans="1:22" ht="49.5" outlineLevel="1" x14ac:dyDescent="0.25">
      <c r="A176" s="1028"/>
      <c r="B176" s="1026"/>
      <c r="C176" s="385" t="s">
        <v>37</v>
      </c>
      <c r="D176" s="386">
        <f>82992*1.18</f>
        <v>97930.559999999998</v>
      </c>
      <c r="E176" s="387" t="s">
        <v>558</v>
      </c>
      <c r="F176" s="387" t="s">
        <v>548</v>
      </c>
      <c r="G176" s="388">
        <f>82992*1.18</f>
        <v>97930.559999999998</v>
      </c>
      <c r="H176" s="389">
        <v>42424</v>
      </c>
      <c r="I176" s="389">
        <v>42415</v>
      </c>
      <c r="J176" s="390">
        <v>97930.559999999998</v>
      </c>
      <c r="K176" s="390">
        <v>97930.559999999998</v>
      </c>
      <c r="L176" s="389"/>
      <c r="M176" s="390">
        <f>J176-D176</f>
        <v>0</v>
      </c>
      <c r="N176" s="391"/>
      <c r="O176" s="392" t="s">
        <v>675</v>
      </c>
      <c r="P176" s="176"/>
      <c r="Q176" s="177"/>
      <c r="R176" s="168"/>
      <c r="S176" s="19"/>
      <c r="T176" s="19"/>
    </row>
    <row r="177" spans="1:22" ht="17.25" outlineLevel="1" thickBot="1" x14ac:dyDescent="0.3">
      <c r="A177" s="1006" t="s">
        <v>628</v>
      </c>
      <c r="B177" s="1007"/>
      <c r="C177" s="364"/>
      <c r="D177" s="365">
        <f>SUM(D174:D176)</f>
        <v>1808603.4600000002</v>
      </c>
      <c r="E177" s="239"/>
      <c r="F177" s="239"/>
      <c r="G177" s="366">
        <f>SUM(G174:G176)</f>
        <v>2155085.5099999998</v>
      </c>
      <c r="H177" s="239"/>
      <c r="I177" s="321"/>
      <c r="J177" s="365">
        <f>SUM(J174:J176)</f>
        <v>1808603.4600000002</v>
      </c>
      <c r="K177" s="365">
        <f>SUM(K174:K176)</f>
        <v>1808603.4600000002</v>
      </c>
      <c r="L177" s="367"/>
      <c r="M177" s="365"/>
      <c r="N177" s="368">
        <f>AVERAGE(N174:N176)</f>
        <v>1</v>
      </c>
      <c r="O177" s="369"/>
      <c r="P177" s="176"/>
      <c r="Q177" s="177"/>
      <c r="R177" s="132"/>
    </row>
    <row r="178" spans="1:22" s="5" customFormat="1" ht="33" x14ac:dyDescent="0.25">
      <c r="A178" s="1027">
        <v>10</v>
      </c>
      <c r="B178" s="1025" t="s">
        <v>70</v>
      </c>
      <c r="C178" s="197" t="s">
        <v>500</v>
      </c>
      <c r="D178" s="162">
        <v>6186616.2199999997</v>
      </c>
      <c r="E178" s="197" t="s">
        <v>887</v>
      </c>
      <c r="F178" s="197" t="s">
        <v>750</v>
      </c>
      <c r="G178" s="353">
        <v>5807766.4800000004</v>
      </c>
      <c r="H178" s="161">
        <v>42610</v>
      </c>
      <c r="I178" s="161">
        <v>42627</v>
      </c>
      <c r="J178" s="162">
        <v>6186616.2199999997</v>
      </c>
      <c r="K178" s="162">
        <v>6186616.2199999997</v>
      </c>
      <c r="L178" s="161"/>
      <c r="M178" s="162"/>
      <c r="N178" s="200">
        <v>1</v>
      </c>
      <c r="O178" s="370"/>
      <c r="P178" s="176"/>
      <c r="Q178" s="177"/>
      <c r="R178" s="132"/>
      <c r="S178" s="18"/>
      <c r="T178" s="18"/>
      <c r="U178" s="19"/>
      <c r="V178" s="19"/>
    </row>
    <row r="179" spans="1:22" ht="49.5" outlineLevel="1" x14ac:dyDescent="0.25">
      <c r="A179" s="1028"/>
      <c r="B179" s="1026"/>
      <c r="C179" s="294" t="s">
        <v>37</v>
      </c>
      <c r="D179" s="180">
        <f>69287.4*1.18</f>
        <v>81759.131999999983</v>
      </c>
      <c r="E179" s="181" t="s">
        <v>555</v>
      </c>
      <c r="F179" s="181" t="s">
        <v>554</v>
      </c>
      <c r="G179" s="182">
        <f>69287.4*1.18</f>
        <v>81759.131999999983</v>
      </c>
      <c r="H179" s="183">
        <v>42429</v>
      </c>
      <c r="I179" s="183">
        <v>42383</v>
      </c>
      <c r="J179" s="184">
        <v>81759.13</v>
      </c>
      <c r="K179" s="184">
        <v>81759.13</v>
      </c>
      <c r="L179" s="183"/>
      <c r="M179" s="184">
        <f>J179-D179</f>
        <v>-1.9999999785795808E-3</v>
      </c>
      <c r="N179" s="202"/>
      <c r="O179" s="186" t="s">
        <v>675</v>
      </c>
      <c r="P179" s="176"/>
      <c r="Q179" s="177"/>
      <c r="R179" s="132"/>
    </row>
    <row r="180" spans="1:22" ht="17.25" outlineLevel="1" thickBot="1" x14ac:dyDescent="0.3">
      <c r="A180" s="1006" t="s">
        <v>628</v>
      </c>
      <c r="B180" s="1007"/>
      <c r="C180" s="364"/>
      <c r="D180" s="365">
        <f>SUM(D178:D179)</f>
        <v>6268375.352</v>
      </c>
      <c r="E180" s="188"/>
      <c r="F180" s="188"/>
      <c r="G180" s="366">
        <f>SUM(G178:G179)</f>
        <v>5889525.6120000007</v>
      </c>
      <c r="H180" s="188"/>
      <c r="I180" s="190"/>
      <c r="J180" s="365">
        <f>SUM(J178:J179)</f>
        <v>6268375.3499999996</v>
      </c>
      <c r="K180" s="365">
        <f>SUM(K178:K179)</f>
        <v>6268375.3499999996</v>
      </c>
      <c r="L180" s="367"/>
      <c r="M180" s="365"/>
      <c r="N180" s="368">
        <f>AVERAGE(N178:N179)</f>
        <v>1</v>
      </c>
      <c r="O180" s="369"/>
      <c r="P180" s="176"/>
      <c r="Q180" s="177"/>
      <c r="R180" s="168"/>
      <c r="S180" s="19"/>
      <c r="T180" s="19"/>
    </row>
    <row r="181" spans="1:22" s="5" customFormat="1" ht="33" x14ac:dyDescent="0.25">
      <c r="A181" s="1027">
        <v>11</v>
      </c>
      <c r="B181" s="1025" t="s">
        <v>71</v>
      </c>
      <c r="C181" s="197" t="s">
        <v>500</v>
      </c>
      <c r="D181" s="162">
        <v>2214377.5</v>
      </c>
      <c r="E181" s="197" t="s">
        <v>887</v>
      </c>
      <c r="F181" s="197" t="s">
        <v>750</v>
      </c>
      <c r="G181" s="353">
        <v>2325598.58</v>
      </c>
      <c r="H181" s="161">
        <v>42544</v>
      </c>
      <c r="I181" s="161">
        <v>42551</v>
      </c>
      <c r="J181" s="162">
        <v>2214377.5</v>
      </c>
      <c r="K181" s="162">
        <v>2214377.5</v>
      </c>
      <c r="L181" s="161"/>
      <c r="M181" s="162">
        <f>J181-D181</f>
        <v>0</v>
      </c>
      <c r="N181" s="200">
        <v>1</v>
      </c>
      <c r="O181" s="382"/>
      <c r="P181" s="176"/>
      <c r="Q181" s="177"/>
      <c r="R181" s="132"/>
      <c r="S181" s="18"/>
      <c r="T181" s="18"/>
      <c r="U181" s="19"/>
      <c r="V181" s="19"/>
    </row>
    <row r="182" spans="1:22" ht="49.5" outlineLevel="1" x14ac:dyDescent="0.25">
      <c r="A182" s="1028"/>
      <c r="B182" s="1026"/>
      <c r="C182" s="294" t="s">
        <v>37</v>
      </c>
      <c r="D182" s="180">
        <f>60345.78*1.18</f>
        <v>71208.020399999994</v>
      </c>
      <c r="E182" s="181" t="s">
        <v>555</v>
      </c>
      <c r="F182" s="181" t="s">
        <v>554</v>
      </c>
      <c r="G182" s="182">
        <f>60345.78*1.18</f>
        <v>71208.020399999994</v>
      </c>
      <c r="H182" s="183">
        <v>42429</v>
      </c>
      <c r="I182" s="183">
        <v>42383</v>
      </c>
      <c r="J182" s="184">
        <v>71208.02</v>
      </c>
      <c r="K182" s="184">
        <v>71208.02</v>
      </c>
      <c r="L182" s="183"/>
      <c r="M182" s="184">
        <f>J182-D182</f>
        <v>-3.9999998989515007E-4</v>
      </c>
      <c r="N182" s="202"/>
      <c r="O182" s="186" t="s">
        <v>675</v>
      </c>
      <c r="P182" s="176"/>
      <c r="Q182" s="177"/>
      <c r="R182" s="132"/>
    </row>
    <row r="183" spans="1:22" ht="17.25" outlineLevel="1" thickBot="1" x14ac:dyDescent="0.3">
      <c r="A183" s="1010" t="s">
        <v>628</v>
      </c>
      <c r="B183" s="1011"/>
      <c r="C183" s="377"/>
      <c r="D183" s="378">
        <f>SUM(D181:D182)</f>
        <v>2285585.5203999998</v>
      </c>
      <c r="E183" s="215"/>
      <c r="F183" s="215"/>
      <c r="G183" s="379">
        <f>SUM(G181:G182)</f>
        <v>2396806.6003999999</v>
      </c>
      <c r="H183" s="215"/>
      <c r="I183" s="384"/>
      <c r="J183" s="378">
        <f>SUM(J181:J182)</f>
        <v>2285585.52</v>
      </c>
      <c r="K183" s="378">
        <f>SUM(K181:K182)</f>
        <v>2285585.52</v>
      </c>
      <c r="L183" s="380"/>
      <c r="M183" s="378"/>
      <c r="N183" s="368">
        <f>AVERAGE(N181:N182)</f>
        <v>1</v>
      </c>
      <c r="O183" s="381"/>
      <c r="P183" s="176"/>
      <c r="Q183" s="177"/>
      <c r="R183" s="168"/>
      <c r="S183" s="19"/>
      <c r="T183" s="19"/>
    </row>
    <row r="184" spans="1:22" s="69" customFormat="1" ht="30" customHeight="1" x14ac:dyDescent="0.25">
      <c r="A184" s="1027">
        <v>12</v>
      </c>
      <c r="B184" s="1025" t="s">
        <v>39</v>
      </c>
      <c r="C184" s="197" t="s">
        <v>500</v>
      </c>
      <c r="D184" s="162">
        <v>2653612.1100000003</v>
      </c>
      <c r="E184" s="197" t="s">
        <v>886</v>
      </c>
      <c r="F184" s="197" t="s">
        <v>750</v>
      </c>
      <c r="G184" s="353">
        <v>2672198.29</v>
      </c>
      <c r="H184" s="161">
        <v>42610</v>
      </c>
      <c r="I184" s="161">
        <v>42608</v>
      </c>
      <c r="J184" s="162">
        <v>2653612.1100000003</v>
      </c>
      <c r="K184" s="162">
        <v>2653612.1100000003</v>
      </c>
      <c r="L184" s="161"/>
      <c r="M184" s="162"/>
      <c r="N184" s="200">
        <v>1</v>
      </c>
      <c r="O184" s="382"/>
      <c r="P184" s="176"/>
      <c r="Q184" s="177"/>
      <c r="R184" s="383"/>
      <c r="S184" s="67"/>
      <c r="T184" s="67"/>
      <c r="U184" s="68"/>
      <c r="V184" s="68"/>
    </row>
    <row r="185" spans="1:22" ht="49.5" outlineLevel="1" x14ac:dyDescent="0.25">
      <c r="A185" s="1028"/>
      <c r="B185" s="1026"/>
      <c r="C185" s="294" t="s">
        <v>37</v>
      </c>
      <c r="D185" s="180">
        <f>59930.74*1.18</f>
        <v>70718.273199999996</v>
      </c>
      <c r="E185" s="181" t="s">
        <v>555</v>
      </c>
      <c r="F185" s="181" t="s">
        <v>554</v>
      </c>
      <c r="G185" s="182">
        <f>59930.74*1.18</f>
        <v>70718.273199999996</v>
      </c>
      <c r="H185" s="183">
        <v>42429</v>
      </c>
      <c r="I185" s="183">
        <v>42383</v>
      </c>
      <c r="J185" s="184">
        <v>70718.27</v>
      </c>
      <c r="K185" s="184">
        <v>70718.27</v>
      </c>
      <c r="L185" s="183"/>
      <c r="M185" s="184">
        <f>J185-D185</f>
        <v>-3.1999999919207767E-3</v>
      </c>
      <c r="N185" s="202"/>
      <c r="O185" s="186" t="s">
        <v>675</v>
      </c>
      <c r="P185" s="176"/>
      <c r="Q185" s="177"/>
      <c r="R185" s="132"/>
    </row>
    <row r="186" spans="1:22" ht="15" customHeight="1" outlineLevel="1" thickBot="1" x14ac:dyDescent="0.3">
      <c r="A186" s="1006" t="s">
        <v>628</v>
      </c>
      <c r="B186" s="1007"/>
      <c r="C186" s="364"/>
      <c r="D186" s="365">
        <f>SUM(D184:D185)</f>
        <v>2724330.3832000005</v>
      </c>
      <c r="E186" s="188"/>
      <c r="F186" s="188"/>
      <c r="G186" s="366">
        <f>SUM(G184:G185)</f>
        <v>2742916.5632000002</v>
      </c>
      <c r="H186" s="188"/>
      <c r="I186" s="190"/>
      <c r="J186" s="365">
        <f>SUM(J184:J185)</f>
        <v>2724330.3800000004</v>
      </c>
      <c r="K186" s="365">
        <f>SUM(K184:K185)</f>
        <v>2724330.3800000004</v>
      </c>
      <c r="L186" s="367"/>
      <c r="M186" s="365"/>
      <c r="N186" s="368">
        <f>AVERAGE(N184:N185)</f>
        <v>1</v>
      </c>
      <c r="O186" s="369"/>
      <c r="P186" s="176"/>
      <c r="Q186" s="177"/>
      <c r="R186" s="168"/>
      <c r="S186" s="19"/>
      <c r="T186" s="19"/>
    </row>
    <row r="187" spans="1:22" s="5" customFormat="1" ht="33" x14ac:dyDescent="0.25">
      <c r="A187" s="1027">
        <v>13</v>
      </c>
      <c r="B187" s="1025" t="s">
        <v>72</v>
      </c>
      <c r="C187" s="197" t="s">
        <v>500</v>
      </c>
      <c r="D187" s="162">
        <v>4464851.43</v>
      </c>
      <c r="E187" s="197" t="s">
        <v>886</v>
      </c>
      <c r="F187" s="197" t="s">
        <v>750</v>
      </c>
      <c r="G187" s="353">
        <v>4265440.8099999996</v>
      </c>
      <c r="H187" s="161">
        <v>42610</v>
      </c>
      <c r="I187" s="161">
        <v>42563</v>
      </c>
      <c r="J187" s="162">
        <v>4464851.43</v>
      </c>
      <c r="K187" s="162">
        <v>4464851.43</v>
      </c>
      <c r="L187" s="161"/>
      <c r="M187" s="162">
        <f>J187-D187</f>
        <v>0</v>
      </c>
      <c r="N187" s="200">
        <v>1</v>
      </c>
      <c r="O187" s="370"/>
      <c r="P187" s="176"/>
      <c r="Q187" s="177"/>
      <c r="R187" s="132"/>
      <c r="S187" s="18"/>
      <c r="T187" s="18"/>
      <c r="U187" s="19"/>
      <c r="V187" s="19"/>
    </row>
    <row r="188" spans="1:22" ht="49.5" outlineLevel="1" x14ac:dyDescent="0.25">
      <c r="A188" s="1028"/>
      <c r="B188" s="1026"/>
      <c r="C188" s="294" t="s">
        <v>37</v>
      </c>
      <c r="D188" s="180">
        <f>50642.19*1.18</f>
        <v>59757.784200000002</v>
      </c>
      <c r="E188" s="181" t="s">
        <v>555</v>
      </c>
      <c r="F188" s="181" t="s">
        <v>554</v>
      </c>
      <c r="G188" s="182">
        <f>50642.19*1.18</f>
        <v>59757.784200000002</v>
      </c>
      <c r="H188" s="183">
        <v>42429</v>
      </c>
      <c r="I188" s="183">
        <v>42383</v>
      </c>
      <c r="J188" s="184">
        <v>59757.78</v>
      </c>
      <c r="K188" s="184">
        <v>59757.78</v>
      </c>
      <c r="L188" s="183"/>
      <c r="M188" s="184">
        <f>J188-D188</f>
        <v>-4.2000000030384399E-3</v>
      </c>
      <c r="N188" s="202"/>
      <c r="O188" s="186" t="s">
        <v>675</v>
      </c>
      <c r="P188" s="176"/>
      <c r="Q188" s="177"/>
      <c r="R188" s="132"/>
    </row>
    <row r="189" spans="1:22" ht="17.25" outlineLevel="1" thickBot="1" x14ac:dyDescent="0.3">
      <c r="A189" s="1006" t="s">
        <v>628</v>
      </c>
      <c r="B189" s="1007"/>
      <c r="C189" s="364"/>
      <c r="D189" s="365">
        <f>SUM(D187:D188)</f>
        <v>4524609.2141999993</v>
      </c>
      <c r="E189" s="239"/>
      <c r="F189" s="239"/>
      <c r="G189" s="366">
        <f>SUM(G187:G188)</f>
        <v>4325198.5941999992</v>
      </c>
      <c r="H189" s="239"/>
      <c r="I189" s="321"/>
      <c r="J189" s="365">
        <f>SUM(J187:J188)</f>
        <v>4524609.21</v>
      </c>
      <c r="K189" s="365">
        <f>SUM(K187:K188)</f>
        <v>4524609.21</v>
      </c>
      <c r="L189" s="367"/>
      <c r="M189" s="365"/>
      <c r="N189" s="368">
        <f>AVERAGE(N187:N188)</f>
        <v>1</v>
      </c>
      <c r="O189" s="369"/>
      <c r="P189" s="176"/>
      <c r="Q189" s="177"/>
      <c r="R189" s="132"/>
    </row>
    <row r="190" spans="1:22" s="5" customFormat="1" ht="33" x14ac:dyDescent="0.25">
      <c r="A190" s="1027">
        <v>14</v>
      </c>
      <c r="B190" s="1025" t="s">
        <v>61</v>
      </c>
      <c r="C190" s="371" t="s">
        <v>501</v>
      </c>
      <c r="D190" s="372">
        <v>4125000</v>
      </c>
      <c r="E190" s="373" t="s">
        <v>1166</v>
      </c>
      <c r="F190" s="373" t="s">
        <v>750</v>
      </c>
      <c r="G190" s="374">
        <v>3122713.77</v>
      </c>
      <c r="H190" s="179">
        <v>42811</v>
      </c>
      <c r="I190" s="224"/>
      <c r="J190" s="225"/>
      <c r="K190" s="225"/>
      <c r="L190" s="226"/>
      <c r="M190" s="225"/>
      <c r="N190" s="376">
        <v>0</v>
      </c>
      <c r="O190" s="370"/>
      <c r="P190" s="176">
        <v>2017</v>
      </c>
      <c r="Q190" s="177"/>
      <c r="R190" s="168"/>
      <c r="S190" s="19"/>
      <c r="T190" s="19"/>
      <c r="U190" s="19"/>
      <c r="V190" s="19"/>
    </row>
    <row r="191" spans="1:22" ht="49.5" outlineLevel="1" x14ac:dyDescent="0.25">
      <c r="A191" s="1028"/>
      <c r="B191" s="1026"/>
      <c r="C191" s="356" t="s">
        <v>37</v>
      </c>
      <c r="D191" s="357">
        <f>79998.46*1.18</f>
        <v>94398.18280000001</v>
      </c>
      <c r="E191" s="358" t="s">
        <v>558</v>
      </c>
      <c r="F191" s="358" t="s">
        <v>548</v>
      </c>
      <c r="G191" s="359">
        <f>79998.46*1.18</f>
        <v>94398.18280000001</v>
      </c>
      <c r="H191" s="360">
        <v>42424</v>
      </c>
      <c r="I191" s="360">
        <v>42415</v>
      </c>
      <c r="J191" s="361">
        <v>94398.18</v>
      </c>
      <c r="K191" s="361">
        <v>94398.18</v>
      </c>
      <c r="L191" s="360"/>
      <c r="M191" s="361">
        <f>J191-D191</f>
        <v>-2.8000000165775418E-3</v>
      </c>
      <c r="N191" s="362"/>
      <c r="O191" s="363" t="s">
        <v>675</v>
      </c>
      <c r="P191" s="176"/>
      <c r="Q191" s="177"/>
      <c r="R191" s="132"/>
    </row>
    <row r="192" spans="1:22" ht="17.25" outlineLevel="1" thickBot="1" x14ac:dyDescent="0.3">
      <c r="A192" s="1010" t="s">
        <v>628</v>
      </c>
      <c r="B192" s="1011"/>
      <c r="C192" s="377"/>
      <c r="D192" s="378">
        <f>SUM(D190:D191)</f>
        <v>4219398.1827999996</v>
      </c>
      <c r="E192" s="247"/>
      <c r="F192" s="247"/>
      <c r="G192" s="379">
        <f>SUM(G190:G191)</f>
        <v>3217111.9528000001</v>
      </c>
      <c r="H192" s="247"/>
      <c r="I192" s="277"/>
      <c r="J192" s="378">
        <f>SUM(J190:J191)</f>
        <v>94398.18</v>
      </c>
      <c r="K192" s="378">
        <f>SUM(K190:K191)</f>
        <v>94398.18</v>
      </c>
      <c r="L192" s="380"/>
      <c r="M192" s="378"/>
      <c r="N192" s="368">
        <f>AVERAGE(N190:N191)</f>
        <v>0</v>
      </c>
      <c r="O192" s="381"/>
      <c r="P192" s="176"/>
      <c r="Q192" s="177"/>
      <c r="R192" s="132"/>
    </row>
    <row r="193" spans="1:22" s="69" customFormat="1" ht="33" x14ac:dyDescent="0.25">
      <c r="A193" s="1027">
        <v>15</v>
      </c>
      <c r="B193" s="1025" t="s">
        <v>73</v>
      </c>
      <c r="C193" s="197" t="s">
        <v>500</v>
      </c>
      <c r="D193" s="162">
        <v>3750457.9000000004</v>
      </c>
      <c r="E193" s="197" t="s">
        <v>886</v>
      </c>
      <c r="F193" s="197" t="s">
        <v>750</v>
      </c>
      <c r="G193" s="353">
        <v>4209503.9960199147</v>
      </c>
      <c r="H193" s="161">
        <v>42610</v>
      </c>
      <c r="I193" s="161">
        <v>42619</v>
      </c>
      <c r="J193" s="162">
        <v>3750457.9000000004</v>
      </c>
      <c r="K193" s="162">
        <v>3750457.9000000004</v>
      </c>
      <c r="L193" s="161"/>
      <c r="M193" s="162"/>
      <c r="N193" s="200">
        <v>1</v>
      </c>
      <c r="O193" s="382"/>
      <c r="P193" s="176"/>
      <c r="Q193" s="177"/>
      <c r="R193" s="383"/>
      <c r="S193" s="67"/>
      <c r="T193" s="67"/>
      <c r="U193" s="68"/>
      <c r="V193" s="68"/>
    </row>
    <row r="194" spans="1:22" ht="49.5" outlineLevel="1" x14ac:dyDescent="0.25">
      <c r="A194" s="1028"/>
      <c r="B194" s="1026"/>
      <c r="C194" s="294" t="s">
        <v>37</v>
      </c>
      <c r="D194" s="180">
        <f>56107.63*1.18</f>
        <v>66207.003399999987</v>
      </c>
      <c r="E194" s="181" t="s">
        <v>555</v>
      </c>
      <c r="F194" s="181" t="s">
        <v>554</v>
      </c>
      <c r="G194" s="182">
        <f>56107.63*1.18</f>
        <v>66207.003399999987</v>
      </c>
      <c r="H194" s="183">
        <v>42429</v>
      </c>
      <c r="I194" s="183">
        <v>42383</v>
      </c>
      <c r="J194" s="184">
        <v>66207</v>
      </c>
      <c r="K194" s="184">
        <v>66207</v>
      </c>
      <c r="L194" s="183"/>
      <c r="M194" s="184">
        <f>J194-D194</f>
        <v>-3.3999999868683517E-3</v>
      </c>
      <c r="N194" s="202"/>
      <c r="O194" s="186" t="s">
        <v>675</v>
      </c>
      <c r="P194" s="176"/>
      <c r="Q194" s="177"/>
      <c r="R194" s="132"/>
    </row>
    <row r="195" spans="1:22" ht="17.25" outlineLevel="1" thickBot="1" x14ac:dyDescent="0.3">
      <c r="A195" s="1006" t="s">
        <v>628</v>
      </c>
      <c r="B195" s="1007"/>
      <c r="C195" s="364"/>
      <c r="D195" s="365">
        <f>SUM(D193:D194)</f>
        <v>3816664.9034000002</v>
      </c>
      <c r="E195" s="239"/>
      <c r="F195" s="239"/>
      <c r="G195" s="366">
        <f>SUM(G193:G194)</f>
        <v>4275710.9994199146</v>
      </c>
      <c r="H195" s="239"/>
      <c r="I195" s="321"/>
      <c r="J195" s="365">
        <f>SUM(J193:J194)</f>
        <v>3816664.9000000004</v>
      </c>
      <c r="K195" s="365">
        <f>SUM(K193:K194)</f>
        <v>3816664.9000000004</v>
      </c>
      <c r="L195" s="367"/>
      <c r="M195" s="365"/>
      <c r="N195" s="368">
        <f>AVERAGE(N193:N194)</f>
        <v>1</v>
      </c>
      <c r="O195" s="369"/>
      <c r="P195" s="176"/>
      <c r="Q195" s="177"/>
      <c r="R195" s="132"/>
    </row>
    <row r="196" spans="1:22" s="5" customFormat="1" ht="30.75" customHeight="1" x14ac:dyDescent="0.25">
      <c r="A196" s="1027">
        <v>16</v>
      </c>
      <c r="B196" s="1025" t="s">
        <v>62</v>
      </c>
      <c r="C196" s="371" t="s">
        <v>501</v>
      </c>
      <c r="D196" s="372">
        <v>6020000</v>
      </c>
      <c r="E196" s="373" t="s">
        <v>1166</v>
      </c>
      <c r="F196" s="373" t="s">
        <v>750</v>
      </c>
      <c r="G196" s="374">
        <v>5018667.22</v>
      </c>
      <c r="H196" s="179">
        <v>42811</v>
      </c>
      <c r="I196" s="375"/>
      <c r="J196" s="221"/>
      <c r="K196" s="221"/>
      <c r="L196" s="223"/>
      <c r="M196" s="221"/>
      <c r="N196" s="376">
        <v>0</v>
      </c>
      <c r="O196" s="370"/>
      <c r="P196" s="176">
        <v>2017</v>
      </c>
      <c r="Q196" s="177"/>
      <c r="R196" s="132"/>
      <c r="S196" s="18"/>
      <c r="T196" s="18"/>
      <c r="U196" s="19"/>
      <c r="V196" s="19"/>
    </row>
    <row r="197" spans="1:22" ht="49.5" outlineLevel="1" x14ac:dyDescent="0.25">
      <c r="A197" s="1028"/>
      <c r="B197" s="1026"/>
      <c r="C197" s="356" t="s">
        <v>37</v>
      </c>
      <c r="D197" s="357">
        <f>65573.22*1.18</f>
        <v>77376.399600000004</v>
      </c>
      <c r="E197" s="358" t="s">
        <v>558</v>
      </c>
      <c r="F197" s="358" t="s">
        <v>548</v>
      </c>
      <c r="G197" s="359">
        <f>65573.22*1.18</f>
        <v>77376.399600000004</v>
      </c>
      <c r="H197" s="360">
        <v>42424</v>
      </c>
      <c r="I197" s="393" t="s">
        <v>980</v>
      </c>
      <c r="J197" s="361">
        <v>77376.399999999994</v>
      </c>
      <c r="K197" s="361">
        <v>77376.399999999994</v>
      </c>
      <c r="L197" s="360"/>
      <c r="M197" s="361">
        <f>J197-D197</f>
        <v>3.9999998989515007E-4</v>
      </c>
      <c r="N197" s="362"/>
      <c r="O197" s="363" t="s">
        <v>675</v>
      </c>
      <c r="P197" s="176"/>
      <c r="Q197" s="177"/>
      <c r="R197" s="168"/>
      <c r="S197" s="19"/>
      <c r="T197" s="19"/>
    </row>
    <row r="198" spans="1:22" ht="17.25" outlineLevel="1" thickBot="1" x14ac:dyDescent="0.3">
      <c r="A198" s="1006" t="s">
        <v>628</v>
      </c>
      <c r="B198" s="1007"/>
      <c r="C198" s="364"/>
      <c r="D198" s="365">
        <f>SUM(D196:D197)</f>
        <v>6097376.3996000001</v>
      </c>
      <c r="E198" s="239"/>
      <c r="F198" s="239"/>
      <c r="G198" s="366">
        <f>SUM(G196:G197)</f>
        <v>5096043.6195999999</v>
      </c>
      <c r="H198" s="239"/>
      <c r="I198" s="321"/>
      <c r="J198" s="365">
        <f>SUM(J196:J197)</f>
        <v>77376.399999999994</v>
      </c>
      <c r="K198" s="365">
        <f>SUM(K196:K197)</f>
        <v>77376.399999999994</v>
      </c>
      <c r="L198" s="367"/>
      <c r="M198" s="365"/>
      <c r="N198" s="368">
        <f>AVERAGE(N196:N197)</f>
        <v>0</v>
      </c>
      <c r="O198" s="369"/>
      <c r="P198" s="176"/>
      <c r="Q198" s="177"/>
      <c r="R198" s="132"/>
    </row>
    <row r="199" spans="1:22" s="5" customFormat="1" ht="29.25" customHeight="1" x14ac:dyDescent="0.25">
      <c r="A199" s="1027">
        <v>17</v>
      </c>
      <c r="B199" s="1025" t="s">
        <v>832</v>
      </c>
      <c r="C199" s="197" t="s">
        <v>500</v>
      </c>
      <c r="D199" s="162">
        <v>3066431.16</v>
      </c>
      <c r="E199" s="197" t="s">
        <v>793</v>
      </c>
      <c r="F199" s="197" t="s">
        <v>794</v>
      </c>
      <c r="G199" s="353">
        <v>3142709.23</v>
      </c>
      <c r="H199" s="161">
        <v>42502</v>
      </c>
      <c r="I199" s="161">
        <v>42500</v>
      </c>
      <c r="J199" s="162">
        <v>3066431.16</v>
      </c>
      <c r="K199" s="162">
        <v>3066431.1599999997</v>
      </c>
      <c r="L199" s="161"/>
      <c r="M199" s="162">
        <f>J199-D199</f>
        <v>0</v>
      </c>
      <c r="N199" s="200">
        <v>1</v>
      </c>
      <c r="O199" s="382"/>
      <c r="P199" s="176"/>
      <c r="Q199" s="177"/>
      <c r="R199" s="132"/>
      <c r="S199" s="18"/>
      <c r="T199" s="18"/>
      <c r="U199" s="19"/>
      <c r="V199" s="19"/>
    </row>
    <row r="200" spans="1:22" ht="49.5" outlineLevel="1" x14ac:dyDescent="0.25">
      <c r="A200" s="1028"/>
      <c r="B200" s="1026"/>
      <c r="C200" s="356" t="s">
        <v>37</v>
      </c>
      <c r="D200" s="357">
        <f>86416.01*1.18</f>
        <v>101970.89179999998</v>
      </c>
      <c r="E200" s="358" t="s">
        <v>558</v>
      </c>
      <c r="F200" s="358" t="s">
        <v>548</v>
      </c>
      <c r="G200" s="359">
        <f>86416.01*1.18</f>
        <v>101970.89179999998</v>
      </c>
      <c r="H200" s="360">
        <v>42424</v>
      </c>
      <c r="I200" s="360">
        <v>42415</v>
      </c>
      <c r="J200" s="361">
        <v>101970.89</v>
      </c>
      <c r="K200" s="361">
        <v>101970.89</v>
      </c>
      <c r="L200" s="360"/>
      <c r="M200" s="361">
        <f>J200-D200</f>
        <v>-1.7999999836320058E-3</v>
      </c>
      <c r="N200" s="362"/>
      <c r="O200" s="363" t="s">
        <v>675</v>
      </c>
      <c r="P200" s="176"/>
      <c r="Q200" s="177"/>
      <c r="R200" s="132"/>
    </row>
    <row r="201" spans="1:22" ht="17.25" outlineLevel="1" thickBot="1" x14ac:dyDescent="0.3">
      <c r="A201" s="1006" t="s">
        <v>628</v>
      </c>
      <c r="B201" s="1007"/>
      <c r="C201" s="364"/>
      <c r="D201" s="365">
        <f>SUM(D199:D200)</f>
        <v>3168402.0518</v>
      </c>
      <c r="E201" s="239"/>
      <c r="F201" s="239"/>
      <c r="G201" s="366">
        <f>SUM(G199:G200)</f>
        <v>3244680.1217999998</v>
      </c>
      <c r="H201" s="239"/>
      <c r="I201" s="321"/>
      <c r="J201" s="365">
        <f>SUM(J199:J200)</f>
        <v>3168402.0500000003</v>
      </c>
      <c r="K201" s="365">
        <f>SUM(K199:K200)</f>
        <v>3168402.05</v>
      </c>
      <c r="L201" s="367"/>
      <c r="M201" s="365"/>
      <c r="N201" s="368">
        <f>AVERAGE(N199:N200)</f>
        <v>1</v>
      </c>
      <c r="O201" s="369"/>
      <c r="P201" s="176"/>
      <c r="Q201" s="177"/>
      <c r="R201" s="132"/>
    </row>
    <row r="202" spans="1:22" s="5" customFormat="1" ht="30.75" customHeight="1" x14ac:dyDescent="0.25">
      <c r="A202" s="1027">
        <v>18</v>
      </c>
      <c r="B202" s="1025" t="s">
        <v>833</v>
      </c>
      <c r="C202" s="197" t="s">
        <v>500</v>
      </c>
      <c r="D202" s="162">
        <v>3158402.19</v>
      </c>
      <c r="E202" s="197" t="s">
        <v>793</v>
      </c>
      <c r="F202" s="197" t="s">
        <v>794</v>
      </c>
      <c r="G202" s="353">
        <v>3251584.7</v>
      </c>
      <c r="H202" s="161">
        <v>42502</v>
      </c>
      <c r="I202" s="161">
        <v>42500</v>
      </c>
      <c r="J202" s="162">
        <v>3158402.19</v>
      </c>
      <c r="K202" s="162">
        <v>3158402.19</v>
      </c>
      <c r="L202" s="161"/>
      <c r="M202" s="162">
        <f>J202-D202</f>
        <v>0</v>
      </c>
      <c r="N202" s="200">
        <v>1</v>
      </c>
      <c r="O202" s="382"/>
      <c r="P202" s="176"/>
      <c r="Q202" s="177"/>
      <c r="R202" s="132"/>
      <c r="S202" s="18"/>
      <c r="T202" s="18"/>
      <c r="U202" s="19"/>
      <c r="V202" s="19"/>
    </row>
    <row r="203" spans="1:22" ht="49.5" outlineLevel="1" x14ac:dyDescent="0.25">
      <c r="A203" s="1028"/>
      <c r="B203" s="1026"/>
      <c r="C203" s="356" t="s">
        <v>37</v>
      </c>
      <c r="D203" s="357">
        <f>86416.01*1.18</f>
        <v>101970.89179999998</v>
      </c>
      <c r="E203" s="358" t="s">
        <v>558</v>
      </c>
      <c r="F203" s="358" t="s">
        <v>548</v>
      </c>
      <c r="G203" s="359">
        <f>86416.01*1.18</f>
        <v>101970.89179999998</v>
      </c>
      <c r="H203" s="360">
        <v>42424</v>
      </c>
      <c r="I203" s="360">
        <v>42415</v>
      </c>
      <c r="J203" s="361">
        <v>101970.89</v>
      </c>
      <c r="K203" s="361">
        <v>101970.89</v>
      </c>
      <c r="L203" s="360"/>
      <c r="M203" s="361">
        <f>J203-D203</f>
        <v>-1.7999999836320058E-3</v>
      </c>
      <c r="N203" s="362"/>
      <c r="O203" s="363" t="s">
        <v>675</v>
      </c>
      <c r="P203" s="176"/>
      <c r="Q203" s="177"/>
      <c r="R203" s="168"/>
      <c r="S203" s="19"/>
      <c r="T203" s="19"/>
    </row>
    <row r="204" spans="1:22" ht="17.25" outlineLevel="1" thickBot="1" x14ac:dyDescent="0.3">
      <c r="A204" s="1010" t="s">
        <v>628</v>
      </c>
      <c r="B204" s="1011"/>
      <c r="C204" s="377"/>
      <c r="D204" s="378">
        <f>SUM(D202:D203)</f>
        <v>3260373.0817999998</v>
      </c>
      <c r="E204" s="247"/>
      <c r="F204" s="247"/>
      <c r="G204" s="379">
        <f>SUM(G202:G203)</f>
        <v>3353555.5918000001</v>
      </c>
      <c r="H204" s="247"/>
      <c r="I204" s="277"/>
      <c r="J204" s="378">
        <f>SUM(J202:J203)</f>
        <v>3260373.08</v>
      </c>
      <c r="K204" s="378">
        <f>SUM(K202:K203)</f>
        <v>3260373.08</v>
      </c>
      <c r="L204" s="380"/>
      <c r="M204" s="378"/>
      <c r="N204" s="368">
        <f>AVERAGE(N202:N203)</f>
        <v>1</v>
      </c>
      <c r="O204" s="381"/>
      <c r="P204" s="176"/>
      <c r="Q204" s="177"/>
      <c r="R204" s="132"/>
    </row>
    <row r="205" spans="1:22" s="69" customFormat="1" ht="36.75" customHeight="1" x14ac:dyDescent="0.25">
      <c r="A205" s="1027">
        <v>19</v>
      </c>
      <c r="B205" s="1025" t="s">
        <v>74</v>
      </c>
      <c r="C205" s="197" t="s">
        <v>500</v>
      </c>
      <c r="D205" s="162">
        <v>4077258.54</v>
      </c>
      <c r="E205" s="197" t="s">
        <v>886</v>
      </c>
      <c r="F205" s="197" t="s">
        <v>750</v>
      </c>
      <c r="G205" s="353">
        <v>4185890.17</v>
      </c>
      <c r="H205" s="161">
        <v>42595</v>
      </c>
      <c r="I205" s="161">
        <v>42608</v>
      </c>
      <c r="J205" s="162">
        <v>4077258.54</v>
      </c>
      <c r="K205" s="162">
        <v>4077258.54</v>
      </c>
      <c r="L205" s="198"/>
      <c r="M205" s="199"/>
      <c r="N205" s="200">
        <v>1</v>
      </c>
      <c r="O205" s="382"/>
      <c r="P205" s="176"/>
      <c r="Q205" s="177"/>
      <c r="R205" s="236"/>
      <c r="S205" s="68"/>
      <c r="T205" s="68"/>
      <c r="U205" s="68"/>
      <c r="V205" s="68"/>
    </row>
    <row r="206" spans="1:22" ht="49.5" outlineLevel="1" x14ac:dyDescent="0.25">
      <c r="A206" s="1028"/>
      <c r="B206" s="1026"/>
      <c r="C206" s="294" t="s">
        <v>37</v>
      </c>
      <c r="D206" s="180">
        <f>55564.45*1.18</f>
        <v>65566.050999999992</v>
      </c>
      <c r="E206" s="181" t="s">
        <v>555</v>
      </c>
      <c r="F206" s="181" t="s">
        <v>554</v>
      </c>
      <c r="G206" s="182">
        <f>55564.45*1.18</f>
        <v>65566.050999999992</v>
      </c>
      <c r="H206" s="183">
        <v>42429</v>
      </c>
      <c r="I206" s="183">
        <v>42383</v>
      </c>
      <c r="J206" s="184">
        <v>65566.05</v>
      </c>
      <c r="K206" s="184">
        <v>65566.05</v>
      </c>
      <c r="L206" s="183"/>
      <c r="M206" s="184">
        <f>J206-D206</f>
        <v>-9.9999998928979039E-4</v>
      </c>
      <c r="N206" s="202"/>
      <c r="O206" s="186" t="s">
        <v>675</v>
      </c>
      <c r="P206" s="176"/>
      <c r="Q206" s="177"/>
      <c r="R206" s="132"/>
    </row>
    <row r="207" spans="1:22" ht="17.25" outlineLevel="1" thickBot="1" x14ac:dyDescent="0.3">
      <c r="A207" s="1006" t="s">
        <v>628</v>
      </c>
      <c r="B207" s="1007"/>
      <c r="C207" s="364"/>
      <c r="D207" s="365">
        <f>SUM(D205:D206)</f>
        <v>4142824.591</v>
      </c>
      <c r="E207" s="239"/>
      <c r="F207" s="239"/>
      <c r="G207" s="366">
        <f>SUM(G205:G206)</f>
        <v>4251456.2209999999</v>
      </c>
      <c r="H207" s="239"/>
      <c r="I207" s="321"/>
      <c r="J207" s="365">
        <f>SUM(J205:J206)</f>
        <v>4142824.59</v>
      </c>
      <c r="K207" s="365">
        <f>SUM(K205:K206)</f>
        <v>4142824.59</v>
      </c>
      <c r="L207" s="367"/>
      <c r="M207" s="365"/>
      <c r="N207" s="368">
        <f>AVERAGE(N205:N206)</f>
        <v>1</v>
      </c>
      <c r="O207" s="369"/>
      <c r="P207" s="176"/>
      <c r="Q207" s="177"/>
      <c r="R207" s="132"/>
    </row>
    <row r="208" spans="1:22" s="5" customFormat="1" ht="33" customHeight="1" x14ac:dyDescent="0.25">
      <c r="A208" s="1027">
        <v>20</v>
      </c>
      <c r="B208" s="1025" t="s">
        <v>63</v>
      </c>
      <c r="C208" s="197" t="s">
        <v>500</v>
      </c>
      <c r="D208" s="162">
        <v>2368705.4700000002</v>
      </c>
      <c r="E208" s="197" t="s">
        <v>886</v>
      </c>
      <c r="F208" s="197" t="s">
        <v>750</v>
      </c>
      <c r="G208" s="353">
        <v>2369347.81</v>
      </c>
      <c r="H208" s="161">
        <v>42576</v>
      </c>
      <c r="I208" s="161">
        <v>42577</v>
      </c>
      <c r="J208" s="162">
        <v>2368705.4700000002</v>
      </c>
      <c r="K208" s="162">
        <v>2368705.4700000002</v>
      </c>
      <c r="L208" s="198"/>
      <c r="M208" s="199"/>
      <c r="N208" s="200">
        <v>1</v>
      </c>
      <c r="O208" s="370"/>
      <c r="P208" s="176"/>
      <c r="Q208" s="177"/>
      <c r="R208" s="168"/>
      <c r="S208" s="19"/>
      <c r="T208" s="19"/>
      <c r="U208" s="19"/>
      <c r="V208" s="19"/>
    </row>
    <row r="209" spans="1:22" ht="49.5" outlineLevel="1" x14ac:dyDescent="0.25">
      <c r="A209" s="1028"/>
      <c r="B209" s="1026"/>
      <c r="C209" s="294" t="s">
        <v>37</v>
      </c>
      <c r="D209" s="180">
        <f>62822.23*1.18</f>
        <v>74130.231400000004</v>
      </c>
      <c r="E209" s="181" t="s">
        <v>555</v>
      </c>
      <c r="F209" s="181" t="s">
        <v>554</v>
      </c>
      <c r="G209" s="182">
        <f>62822.23*1.18</f>
        <v>74130.231400000004</v>
      </c>
      <c r="H209" s="183">
        <v>42429</v>
      </c>
      <c r="I209" s="183">
        <v>42383</v>
      </c>
      <c r="J209" s="184">
        <v>74130.23</v>
      </c>
      <c r="K209" s="184">
        <v>74130.23</v>
      </c>
      <c r="L209" s="183"/>
      <c r="M209" s="184">
        <f>J209-D209</f>
        <v>-1.4000000082887709E-3</v>
      </c>
      <c r="N209" s="202"/>
      <c r="O209" s="186" t="s">
        <v>675</v>
      </c>
      <c r="P209" s="176"/>
      <c r="Q209" s="177"/>
      <c r="R209" s="132"/>
    </row>
    <row r="210" spans="1:22" ht="17.25" outlineLevel="1" thickBot="1" x14ac:dyDescent="0.3">
      <c r="A210" s="1006" t="s">
        <v>628</v>
      </c>
      <c r="B210" s="1007"/>
      <c r="C210" s="364"/>
      <c r="D210" s="365">
        <f>SUM(D208:D209)</f>
        <v>2442835.7014000001</v>
      </c>
      <c r="E210" s="239"/>
      <c r="F210" s="239"/>
      <c r="G210" s="366">
        <f>SUM(G208:G209)</f>
        <v>2443478.0414</v>
      </c>
      <c r="H210" s="239"/>
      <c r="I210" s="321"/>
      <c r="J210" s="365">
        <f>SUM(J208:J209)</f>
        <v>2442835.7000000002</v>
      </c>
      <c r="K210" s="365">
        <f>SUM(K208:K209)</f>
        <v>2442835.7000000002</v>
      </c>
      <c r="L210" s="367"/>
      <c r="M210" s="365"/>
      <c r="N210" s="368">
        <f>AVERAGE(N208:N209)</f>
        <v>1</v>
      </c>
      <c r="O210" s="369"/>
      <c r="P210" s="176"/>
      <c r="Q210" s="177"/>
      <c r="R210" s="132"/>
    </row>
    <row r="211" spans="1:22" s="5" customFormat="1" ht="36" customHeight="1" x14ac:dyDescent="0.25">
      <c r="A211" s="1027">
        <v>21</v>
      </c>
      <c r="B211" s="1025" t="s">
        <v>75</v>
      </c>
      <c r="C211" s="197" t="s">
        <v>500</v>
      </c>
      <c r="D211" s="162">
        <v>4131671.88</v>
      </c>
      <c r="E211" s="197" t="s">
        <v>886</v>
      </c>
      <c r="F211" s="197" t="s">
        <v>750</v>
      </c>
      <c r="G211" s="353">
        <v>4140433.62</v>
      </c>
      <c r="H211" s="161">
        <v>42569</v>
      </c>
      <c r="I211" s="161">
        <v>42563</v>
      </c>
      <c r="J211" s="162">
        <v>4131671.88</v>
      </c>
      <c r="K211" s="162">
        <v>4131671.88</v>
      </c>
      <c r="L211" s="198"/>
      <c r="M211" s="162">
        <f>J211-D211</f>
        <v>0</v>
      </c>
      <c r="N211" s="200">
        <v>1</v>
      </c>
      <c r="O211" s="370"/>
      <c r="P211" s="176"/>
      <c r="Q211" s="177"/>
      <c r="R211" s="168"/>
      <c r="S211" s="19"/>
      <c r="T211" s="19"/>
      <c r="U211" s="19"/>
      <c r="V211" s="19"/>
    </row>
    <row r="212" spans="1:22" ht="49.5" outlineLevel="1" x14ac:dyDescent="0.25">
      <c r="A212" s="1028"/>
      <c r="B212" s="1026"/>
      <c r="C212" s="294" t="s">
        <v>37</v>
      </c>
      <c r="D212" s="180">
        <f>55232.08*1.18</f>
        <v>65173.854399999997</v>
      </c>
      <c r="E212" s="181" t="s">
        <v>555</v>
      </c>
      <c r="F212" s="181" t="s">
        <v>554</v>
      </c>
      <c r="G212" s="182">
        <f>55232.08*1.18</f>
        <v>65173.854399999997</v>
      </c>
      <c r="H212" s="183">
        <v>42429</v>
      </c>
      <c r="I212" s="183">
        <v>42383</v>
      </c>
      <c r="J212" s="184">
        <v>65173.849999999991</v>
      </c>
      <c r="K212" s="184">
        <v>65173.850000000006</v>
      </c>
      <c r="L212" s="183"/>
      <c r="M212" s="184">
        <f>J212-D212</f>
        <v>-4.4000000052619725E-3</v>
      </c>
      <c r="N212" s="202"/>
      <c r="O212" s="186" t="s">
        <v>675</v>
      </c>
      <c r="P212" s="176"/>
      <c r="Q212" s="177"/>
      <c r="R212" s="132"/>
    </row>
    <row r="213" spans="1:22" ht="17.25" outlineLevel="1" thickBot="1" x14ac:dyDescent="0.3">
      <c r="A213" s="1010" t="s">
        <v>628</v>
      </c>
      <c r="B213" s="1011"/>
      <c r="C213" s="377"/>
      <c r="D213" s="378">
        <f>SUM(D211:D212)</f>
        <v>4196845.7343999995</v>
      </c>
      <c r="E213" s="247"/>
      <c r="F213" s="247"/>
      <c r="G213" s="379">
        <f>SUM(G211:G212)</f>
        <v>4205607.4743999997</v>
      </c>
      <c r="H213" s="247"/>
      <c r="I213" s="277"/>
      <c r="J213" s="378">
        <f>SUM(J211:J212)</f>
        <v>4196845.7299999995</v>
      </c>
      <c r="K213" s="378">
        <f>SUM(K211:K212)</f>
        <v>4196845.7299999995</v>
      </c>
      <c r="L213" s="380"/>
      <c r="M213" s="378"/>
      <c r="N213" s="394">
        <f>AVERAGE(N211:N212)</f>
        <v>1</v>
      </c>
      <c r="O213" s="381"/>
      <c r="P213" s="176"/>
      <c r="Q213" s="177"/>
      <c r="R213" s="132"/>
    </row>
    <row r="214" spans="1:22" s="5" customFormat="1" ht="32.25" customHeight="1" x14ac:dyDescent="0.25">
      <c r="A214" s="1027">
        <v>22</v>
      </c>
      <c r="B214" s="1025" t="s">
        <v>76</v>
      </c>
      <c r="C214" s="197" t="s">
        <v>500</v>
      </c>
      <c r="D214" s="162">
        <v>4451206.21</v>
      </c>
      <c r="E214" s="197" t="s">
        <v>886</v>
      </c>
      <c r="F214" s="197" t="s">
        <v>750</v>
      </c>
      <c r="G214" s="353">
        <v>4204911.3</v>
      </c>
      <c r="H214" s="161">
        <v>42610</v>
      </c>
      <c r="I214" s="161">
        <v>42548</v>
      </c>
      <c r="J214" s="162">
        <v>4451206.21</v>
      </c>
      <c r="K214" s="162">
        <v>4451206.21</v>
      </c>
      <c r="L214" s="161"/>
      <c r="M214" s="162">
        <f>J214-D214</f>
        <v>0</v>
      </c>
      <c r="N214" s="200">
        <v>1</v>
      </c>
      <c r="O214" s="382"/>
      <c r="P214" s="176"/>
      <c r="Q214" s="177"/>
      <c r="R214" s="168"/>
      <c r="S214" s="19"/>
      <c r="T214" s="19"/>
      <c r="U214" s="19"/>
      <c r="V214" s="19"/>
    </row>
    <row r="215" spans="1:22" ht="49.5" outlineLevel="1" x14ac:dyDescent="0.25">
      <c r="A215" s="1028"/>
      <c r="B215" s="1026"/>
      <c r="C215" s="294" t="s">
        <v>37</v>
      </c>
      <c r="D215" s="180">
        <f>53984.48*1.18</f>
        <v>63701.686399999999</v>
      </c>
      <c r="E215" s="181" t="s">
        <v>555</v>
      </c>
      <c r="F215" s="181" t="s">
        <v>554</v>
      </c>
      <c r="G215" s="182">
        <f>53984.48*1.18</f>
        <v>63701.686399999999</v>
      </c>
      <c r="H215" s="183">
        <v>42429</v>
      </c>
      <c r="I215" s="183">
        <v>42383</v>
      </c>
      <c r="J215" s="184">
        <v>63701.69</v>
      </c>
      <c r="K215" s="184">
        <v>63701.69</v>
      </c>
      <c r="L215" s="183"/>
      <c r="M215" s="184">
        <f>J215-D215</f>
        <v>3.6000000036437996E-3</v>
      </c>
      <c r="N215" s="202"/>
      <c r="O215" s="186" t="s">
        <v>675</v>
      </c>
      <c r="P215" s="176"/>
      <c r="Q215" s="177"/>
      <c r="R215" s="132"/>
    </row>
    <row r="216" spans="1:22" ht="17.25" outlineLevel="1" thickBot="1" x14ac:dyDescent="0.3">
      <c r="A216" s="1010" t="s">
        <v>628</v>
      </c>
      <c r="B216" s="1011"/>
      <c r="C216" s="377"/>
      <c r="D216" s="378">
        <f>SUM(D214:D215)</f>
        <v>4514907.8964</v>
      </c>
      <c r="E216" s="247"/>
      <c r="F216" s="247"/>
      <c r="G216" s="379">
        <f>SUM(G214:G215)</f>
        <v>4268612.9863999998</v>
      </c>
      <c r="H216" s="247"/>
      <c r="I216" s="277"/>
      <c r="J216" s="378">
        <f>SUM(J214:J215)</f>
        <v>4514907.9000000004</v>
      </c>
      <c r="K216" s="378">
        <f>SUM(K214:K215)</f>
        <v>4514907.9000000004</v>
      </c>
      <c r="L216" s="380"/>
      <c r="M216" s="378"/>
      <c r="N216" s="395">
        <f>AVERAGE(N214:N215)</f>
        <v>1</v>
      </c>
      <c r="O216" s="369"/>
      <c r="P216" s="176"/>
      <c r="Q216" s="177"/>
      <c r="R216" s="132"/>
    </row>
    <row r="217" spans="1:22" ht="33" outlineLevel="1" x14ac:dyDescent="0.25">
      <c r="A217" s="396">
        <v>23</v>
      </c>
      <c r="B217" s="397" t="s">
        <v>1072</v>
      </c>
      <c r="C217" s="197" t="s">
        <v>500</v>
      </c>
      <c r="D217" s="162">
        <v>4335541.6900000004</v>
      </c>
      <c r="E217" s="197" t="s">
        <v>1073</v>
      </c>
      <c r="F217" s="197" t="s">
        <v>1074</v>
      </c>
      <c r="G217" s="162">
        <v>4358000</v>
      </c>
      <c r="H217" s="161">
        <v>42680</v>
      </c>
      <c r="I217" s="161">
        <v>42669</v>
      </c>
      <c r="J217" s="162">
        <v>4335541.6900000004</v>
      </c>
      <c r="K217" s="162">
        <v>4335541.6900000004</v>
      </c>
      <c r="L217" s="198"/>
      <c r="M217" s="199"/>
      <c r="N217" s="250">
        <v>1</v>
      </c>
      <c r="O217" s="398"/>
      <c r="P217" s="176"/>
      <c r="Q217" s="201" t="s">
        <v>1121</v>
      </c>
      <c r="R217" s="132"/>
    </row>
    <row r="218" spans="1:22" ht="18" customHeight="1" outlineLevel="1" thickBot="1" x14ac:dyDescent="0.3">
      <c r="A218" s="1107" t="s">
        <v>628</v>
      </c>
      <c r="B218" s="1108"/>
      <c r="C218" s="364"/>
      <c r="D218" s="365">
        <f>SUM(D217:D217)</f>
        <v>4335541.6900000004</v>
      </c>
      <c r="E218" s="239"/>
      <c r="F218" s="239"/>
      <c r="G218" s="365">
        <f>G217</f>
        <v>4358000</v>
      </c>
      <c r="H218" s="239"/>
      <c r="I218" s="321"/>
      <c r="J218" s="378">
        <f>SUM(J217:J217)</f>
        <v>4335541.6900000004</v>
      </c>
      <c r="K218" s="365">
        <f>SUM(K217:K217)</f>
        <v>4335541.6900000004</v>
      </c>
      <c r="L218" s="367"/>
      <c r="M218" s="365"/>
      <c r="N218" s="399">
        <f>AVERAGE(N217)</f>
        <v>1</v>
      </c>
      <c r="O218" s="398"/>
      <c r="P218" s="176"/>
      <c r="Q218" s="177"/>
      <c r="R218" s="132"/>
    </row>
    <row r="219" spans="1:22" s="5" customFormat="1" ht="30" customHeight="1" x14ac:dyDescent="0.25">
      <c r="A219" s="1062">
        <v>23</v>
      </c>
      <c r="B219" s="1061" t="s">
        <v>499</v>
      </c>
      <c r="C219" s="400" t="s">
        <v>501</v>
      </c>
      <c r="D219" s="401">
        <v>8415000</v>
      </c>
      <c r="E219" s="373" t="s">
        <v>1166</v>
      </c>
      <c r="F219" s="373" t="s">
        <v>750</v>
      </c>
      <c r="G219" s="374">
        <v>6415465.46</v>
      </c>
      <c r="H219" s="179">
        <v>42811</v>
      </c>
      <c r="I219" s="402"/>
      <c r="J219" s="221"/>
      <c r="K219" s="403"/>
      <c r="L219" s="179"/>
      <c r="M219" s="403"/>
      <c r="N219" s="404">
        <v>0</v>
      </c>
      <c r="O219" s="370"/>
      <c r="P219" s="176">
        <v>2017</v>
      </c>
      <c r="Q219" s="177"/>
      <c r="R219" s="132"/>
      <c r="S219" s="18"/>
      <c r="T219" s="18"/>
      <c r="U219" s="19"/>
      <c r="V219" s="19"/>
    </row>
    <row r="220" spans="1:22" ht="49.5" outlineLevel="1" x14ac:dyDescent="0.25">
      <c r="A220" s="1028"/>
      <c r="B220" s="1026"/>
      <c r="C220" s="356" t="s">
        <v>37</v>
      </c>
      <c r="D220" s="357">
        <f>78321.78*1.18</f>
        <v>92419.700399999987</v>
      </c>
      <c r="E220" s="358" t="s">
        <v>558</v>
      </c>
      <c r="F220" s="358" t="s">
        <v>548</v>
      </c>
      <c r="G220" s="359">
        <f>78321.78*1.18</f>
        <v>92419.700399999987</v>
      </c>
      <c r="H220" s="360">
        <v>42424</v>
      </c>
      <c r="I220" s="360">
        <v>42415</v>
      </c>
      <c r="J220" s="361">
        <v>92419.7</v>
      </c>
      <c r="K220" s="361">
        <v>92419.7</v>
      </c>
      <c r="L220" s="360"/>
      <c r="M220" s="361">
        <f>J220-D220</f>
        <v>-3.9999998989515007E-4</v>
      </c>
      <c r="N220" s="362"/>
      <c r="O220" s="363" t="s">
        <v>675</v>
      </c>
      <c r="P220" s="176"/>
      <c r="Q220" s="177"/>
      <c r="R220" s="132"/>
    </row>
    <row r="221" spans="1:22" ht="17.25" outlineLevel="1" thickBot="1" x14ac:dyDescent="0.3">
      <c r="A221" s="1010" t="s">
        <v>628</v>
      </c>
      <c r="B221" s="1011"/>
      <c r="C221" s="377"/>
      <c r="D221" s="378">
        <f>SUM(D219:D220)</f>
        <v>8507419.7004000004</v>
      </c>
      <c r="E221" s="247"/>
      <c r="F221" s="247"/>
      <c r="G221" s="379">
        <f>SUM(G219:G220)</f>
        <v>6507885.1604000004</v>
      </c>
      <c r="H221" s="247"/>
      <c r="I221" s="277"/>
      <c r="J221" s="378">
        <f>SUM(J219:J220)</f>
        <v>92419.7</v>
      </c>
      <c r="K221" s="378">
        <f>SUM(K219:K220)</f>
        <v>92419.7</v>
      </c>
      <c r="L221" s="380"/>
      <c r="M221" s="378"/>
      <c r="N221" s="395">
        <f>AVERAGE(N219:N220)</f>
        <v>0</v>
      </c>
      <c r="O221" s="381"/>
      <c r="P221" s="176"/>
      <c r="Q221" s="177"/>
      <c r="R221" s="132"/>
    </row>
    <row r="222" spans="1:22" s="8" customFormat="1" ht="19.5" customHeight="1" outlineLevel="1" x14ac:dyDescent="0.25">
      <c r="A222" s="405"/>
      <c r="B222" s="1163" t="s">
        <v>1097</v>
      </c>
      <c r="C222" s="1163"/>
      <c r="D222" s="406">
        <v>2269290.08</v>
      </c>
      <c r="E222" s="407"/>
      <c r="F222" s="221"/>
      <c r="G222" s="406">
        <f>SUM(G223:G230)</f>
        <v>2269290.08</v>
      </c>
      <c r="H222" s="223"/>
      <c r="I222" s="375"/>
      <c r="J222" s="406">
        <f>SUM(J223:J230)</f>
        <v>1923127.1900000002</v>
      </c>
      <c r="K222" s="406">
        <f>SUM(K223:K230)</f>
        <v>1923127.1900000002</v>
      </c>
      <c r="L222" s="408"/>
      <c r="M222" s="406"/>
      <c r="N222" s="409"/>
      <c r="O222" s="410"/>
      <c r="P222" s="411"/>
      <c r="Q222" s="412"/>
      <c r="R222" s="335"/>
      <c r="S222" s="2"/>
      <c r="T222" s="2"/>
      <c r="U222" s="2"/>
      <c r="V222" s="2"/>
    </row>
    <row r="223" spans="1:22" s="25" customFormat="1" ht="33" outlineLevel="1" x14ac:dyDescent="0.25">
      <c r="A223" s="413"/>
      <c r="B223" s="336" t="s">
        <v>1421</v>
      </c>
      <c r="C223" s="253" t="s">
        <v>37</v>
      </c>
      <c r="D223" s="414"/>
      <c r="E223" s="1113" t="s">
        <v>1425</v>
      </c>
      <c r="F223" s="1111" t="s">
        <v>1335</v>
      </c>
      <c r="G223" s="208">
        <v>150984.85999999999</v>
      </c>
      <c r="H223" s="1103">
        <v>42719</v>
      </c>
      <c r="I223" s="210">
        <v>42719</v>
      </c>
      <c r="J223" s="208">
        <v>127953.27</v>
      </c>
      <c r="K223" s="208">
        <v>127953.27</v>
      </c>
      <c r="L223" s="415">
        <v>42753</v>
      </c>
      <c r="M223" s="414"/>
      <c r="N223" s="341"/>
      <c r="O223" s="416"/>
      <c r="P223" s="417"/>
      <c r="Q223" s="335"/>
      <c r="R223" s="335"/>
      <c r="S223" s="2"/>
      <c r="T223" s="2"/>
      <c r="U223" s="2"/>
      <c r="V223" s="2"/>
    </row>
    <row r="224" spans="1:22" s="25" customFormat="1" ht="32.25" customHeight="1" outlineLevel="1" x14ac:dyDescent="0.25">
      <c r="A224" s="413"/>
      <c r="B224" s="336" t="s">
        <v>71</v>
      </c>
      <c r="C224" s="253" t="s">
        <v>37</v>
      </c>
      <c r="D224" s="414"/>
      <c r="E224" s="1113"/>
      <c r="F224" s="1111"/>
      <c r="G224" s="208">
        <v>261947.62</v>
      </c>
      <c r="H224" s="1103"/>
      <c r="I224" s="210">
        <v>42719</v>
      </c>
      <c r="J224" s="208">
        <v>221989.51</v>
      </c>
      <c r="K224" s="208">
        <v>221989.51</v>
      </c>
      <c r="L224" s="415">
        <v>42753</v>
      </c>
      <c r="M224" s="414"/>
      <c r="N224" s="341"/>
      <c r="O224" s="416"/>
      <c r="P224" s="417"/>
      <c r="Q224" s="335"/>
      <c r="R224" s="335"/>
      <c r="S224" s="2"/>
      <c r="T224" s="2"/>
      <c r="U224" s="2"/>
      <c r="V224" s="2"/>
    </row>
    <row r="225" spans="1:22" s="25" customFormat="1" ht="32.25" customHeight="1" outlineLevel="1" x14ac:dyDescent="0.25">
      <c r="A225" s="413"/>
      <c r="B225" s="336" t="s">
        <v>832</v>
      </c>
      <c r="C225" s="253" t="s">
        <v>37</v>
      </c>
      <c r="D225" s="414"/>
      <c r="E225" s="1113"/>
      <c r="F225" s="1111"/>
      <c r="G225" s="208">
        <v>351086.66</v>
      </c>
      <c r="H225" s="1103"/>
      <c r="I225" s="210">
        <v>42719</v>
      </c>
      <c r="J225" s="208">
        <v>297531.07</v>
      </c>
      <c r="K225" s="208">
        <v>297531.07</v>
      </c>
      <c r="L225" s="415">
        <v>42753</v>
      </c>
      <c r="M225" s="414"/>
      <c r="N225" s="341"/>
      <c r="O225" s="416"/>
      <c r="P225" s="417"/>
      <c r="Q225" s="335"/>
      <c r="R225" s="335"/>
      <c r="S225" s="2"/>
      <c r="T225" s="2"/>
      <c r="U225" s="2"/>
      <c r="V225" s="2"/>
    </row>
    <row r="226" spans="1:22" s="25" customFormat="1" ht="31.5" customHeight="1" outlineLevel="1" x14ac:dyDescent="0.25">
      <c r="A226" s="413"/>
      <c r="B226" s="336" t="s">
        <v>1422</v>
      </c>
      <c r="C226" s="253" t="s">
        <v>37</v>
      </c>
      <c r="D226" s="414"/>
      <c r="E226" s="1113"/>
      <c r="F226" s="1111"/>
      <c r="G226" s="208">
        <v>432173.14</v>
      </c>
      <c r="H226" s="1103"/>
      <c r="I226" s="210">
        <v>42719</v>
      </c>
      <c r="J226" s="208">
        <v>366248.42</v>
      </c>
      <c r="K226" s="208">
        <v>366248.42</v>
      </c>
      <c r="L226" s="415">
        <v>42753</v>
      </c>
      <c r="M226" s="414"/>
      <c r="N226" s="341"/>
      <c r="O226" s="416"/>
      <c r="P226" s="417"/>
      <c r="Q226" s="335"/>
      <c r="R226" s="335"/>
      <c r="S226" s="2"/>
      <c r="T226" s="2"/>
      <c r="U226" s="2"/>
      <c r="V226" s="2"/>
    </row>
    <row r="227" spans="1:22" s="25" customFormat="1" ht="29.25" customHeight="1" outlineLevel="1" x14ac:dyDescent="0.25">
      <c r="A227" s="413"/>
      <c r="B227" s="336" t="s">
        <v>833</v>
      </c>
      <c r="C227" s="253" t="s">
        <v>37</v>
      </c>
      <c r="D227" s="414"/>
      <c r="E227" s="1113"/>
      <c r="F227" s="1111"/>
      <c r="G227" s="208">
        <v>349097.5</v>
      </c>
      <c r="H227" s="1103"/>
      <c r="I227" s="210">
        <v>42719</v>
      </c>
      <c r="J227" s="208">
        <v>295845.34000000003</v>
      </c>
      <c r="K227" s="208">
        <v>295845.34000000003</v>
      </c>
      <c r="L227" s="415">
        <v>42753</v>
      </c>
      <c r="M227" s="414"/>
      <c r="N227" s="341"/>
      <c r="O227" s="416"/>
      <c r="P227" s="417"/>
      <c r="Q227" s="335"/>
      <c r="R227" s="335"/>
      <c r="S227" s="2"/>
      <c r="T227" s="2"/>
      <c r="U227" s="2"/>
      <c r="V227" s="2"/>
    </row>
    <row r="228" spans="1:22" s="25" customFormat="1" ht="33.75" customHeight="1" outlineLevel="1" x14ac:dyDescent="0.25">
      <c r="A228" s="413"/>
      <c r="B228" s="336" t="s">
        <v>1423</v>
      </c>
      <c r="C228" s="253" t="s">
        <v>37</v>
      </c>
      <c r="D228" s="414"/>
      <c r="E228" s="1113"/>
      <c r="F228" s="1111"/>
      <c r="G228" s="208">
        <v>340116.34</v>
      </c>
      <c r="H228" s="1103"/>
      <c r="I228" s="210">
        <v>42719</v>
      </c>
      <c r="J228" s="208">
        <v>288234.19</v>
      </c>
      <c r="K228" s="208">
        <v>288234.19</v>
      </c>
      <c r="L228" s="415">
        <v>42753</v>
      </c>
      <c r="M228" s="414"/>
      <c r="N228" s="341"/>
      <c r="O228" s="416"/>
      <c r="P228" s="417"/>
      <c r="Q228" s="335"/>
      <c r="R228" s="335"/>
      <c r="S228" s="2"/>
      <c r="T228" s="2"/>
      <c r="U228" s="2"/>
      <c r="V228" s="2"/>
    </row>
    <row r="229" spans="1:22" s="25" customFormat="1" ht="24" customHeight="1" outlineLevel="1" x14ac:dyDescent="0.25">
      <c r="A229" s="413"/>
      <c r="B229" s="336" t="s">
        <v>1424</v>
      </c>
      <c r="C229" s="253" t="s">
        <v>37</v>
      </c>
      <c r="D229" s="414"/>
      <c r="E229" s="1113"/>
      <c r="F229" s="1111"/>
      <c r="G229" s="208">
        <v>328744.61</v>
      </c>
      <c r="H229" s="1103"/>
      <c r="I229" s="210">
        <v>42719</v>
      </c>
      <c r="J229" s="208">
        <v>278597.13</v>
      </c>
      <c r="K229" s="208">
        <v>278597.13</v>
      </c>
      <c r="L229" s="415">
        <v>42753</v>
      </c>
      <c r="M229" s="414"/>
      <c r="N229" s="341"/>
      <c r="O229" s="416"/>
      <c r="P229" s="417"/>
      <c r="Q229" s="335"/>
      <c r="R229" s="335"/>
      <c r="S229" s="2"/>
      <c r="T229" s="2"/>
      <c r="U229" s="2"/>
      <c r="V229" s="2"/>
    </row>
    <row r="230" spans="1:22" s="25" customFormat="1" ht="19.5" customHeight="1" outlineLevel="1" thickBot="1" x14ac:dyDescent="0.3">
      <c r="A230" s="418"/>
      <c r="B230" s="419" t="s">
        <v>58</v>
      </c>
      <c r="C230" s="260" t="s">
        <v>37</v>
      </c>
      <c r="D230" s="420"/>
      <c r="E230" s="1114"/>
      <c r="F230" s="1112"/>
      <c r="G230" s="258">
        <v>55139.35</v>
      </c>
      <c r="H230" s="1104"/>
      <c r="I230" s="210">
        <v>42719</v>
      </c>
      <c r="J230" s="258">
        <v>46728.26</v>
      </c>
      <c r="K230" s="258">
        <v>46728.26</v>
      </c>
      <c r="L230" s="415">
        <v>42753</v>
      </c>
      <c r="M230" s="420"/>
      <c r="N230" s="421"/>
      <c r="O230" s="422"/>
      <c r="P230" s="417"/>
      <c r="Q230" s="335"/>
      <c r="R230" s="335"/>
      <c r="S230" s="2"/>
      <c r="T230" s="2"/>
      <c r="U230" s="2"/>
      <c r="V230" s="2"/>
    </row>
    <row r="231" spans="1:22" ht="17.25" outlineLevel="1" thickBot="1" x14ac:dyDescent="0.3">
      <c r="A231" s="1014" t="s">
        <v>629</v>
      </c>
      <c r="B231" s="1015"/>
      <c r="C231" s="346"/>
      <c r="D231" s="423">
        <f>SUM(D221,D216,D213,D210,D207,D204,D201,D198,D195,D192,D189,D186,D183,D180,D177,D173,D170,D167,D164,D161,D158,D155,D152,D218,D222)</f>
        <v>105100867.8186</v>
      </c>
      <c r="E231" s="424"/>
      <c r="F231" s="346"/>
      <c r="G231" s="423">
        <f>SUM(G218,G221,G216,G213,G210,G207,G204,G201,G198,G195,G192,G189,G186,G183,G180,G177,G173,G170,G167,G164,G161,G158,G155,G152,G222)</f>
        <v>101164055.16641989</v>
      </c>
      <c r="H231" s="346"/>
      <c r="I231" s="347"/>
      <c r="J231" s="423">
        <f>SUM(J221,J216,J218,J213,J210,J207,J204,J201,J198,J195,J192,J189,J186,J183,J180,J177,J173,J170,J167,J164,J161,J158,J155,J152,J222)</f>
        <v>80804704.900000021</v>
      </c>
      <c r="K231" s="423">
        <f>SUM(K222,K221,K216,K218,K213,K210,K207,K204,K201,K198,K195,K192,K189,K186,K183,K180,K177,K173,K170,K167,K164,K161,K158,K155,K152)</f>
        <v>80804704.900000006</v>
      </c>
      <c r="L231" s="425"/>
      <c r="M231" s="426"/>
      <c r="N231" s="427">
        <f>AVERAGE(N221,N216,N213,N210,N207,N204,N201,N198,N195,N192,N189,N186,N183,N180,N177,N173,N170,N167,N164,N161,N158,N155,N152)</f>
        <v>0.82608695652173914</v>
      </c>
      <c r="O231" s="428"/>
      <c r="P231" s="245"/>
      <c r="Q231" s="252"/>
      <c r="R231" s="168"/>
      <c r="S231" s="19"/>
      <c r="T231" s="19"/>
    </row>
    <row r="232" spans="1:22" s="13" customFormat="1" ht="19.5" customHeight="1" thickBot="1" x14ac:dyDescent="0.3">
      <c r="A232" s="1048" t="s">
        <v>632</v>
      </c>
      <c r="B232" s="1049"/>
      <c r="C232" s="1049"/>
      <c r="D232" s="1049"/>
      <c r="E232" s="1049"/>
      <c r="F232" s="1049"/>
      <c r="G232" s="1049"/>
      <c r="H232" s="1049"/>
      <c r="I232" s="1049"/>
      <c r="J232" s="1049"/>
      <c r="K232" s="1049"/>
      <c r="L232" s="1049"/>
      <c r="M232" s="1049"/>
      <c r="N232" s="1049"/>
      <c r="O232" s="1049"/>
      <c r="P232" s="176"/>
      <c r="Q232" s="177"/>
      <c r="R232" s="132"/>
      <c r="S232" s="18"/>
      <c r="T232" s="18"/>
      <c r="U232" s="19"/>
      <c r="V232" s="19"/>
    </row>
    <row r="233" spans="1:22" s="13" customFormat="1" ht="30" customHeight="1" x14ac:dyDescent="0.25">
      <c r="A233" s="1109">
        <v>1</v>
      </c>
      <c r="B233" s="1123" t="s">
        <v>77</v>
      </c>
      <c r="C233" s="162" t="s">
        <v>38</v>
      </c>
      <c r="D233" s="162">
        <v>687775.98</v>
      </c>
      <c r="E233" s="984" t="s">
        <v>917</v>
      </c>
      <c r="F233" s="984" t="s">
        <v>918</v>
      </c>
      <c r="G233" s="353">
        <v>742545.68</v>
      </c>
      <c r="H233" s="161">
        <v>42580</v>
      </c>
      <c r="I233" s="206">
        <v>42591</v>
      </c>
      <c r="J233" s="162">
        <v>687775.98</v>
      </c>
      <c r="K233" s="162">
        <v>687775.98</v>
      </c>
      <c r="L233" s="161"/>
      <c r="M233" s="162"/>
      <c r="N233" s="200">
        <v>1</v>
      </c>
      <c r="O233" s="429"/>
      <c r="P233" s="176"/>
      <c r="Q233" s="177"/>
      <c r="R233" s="132"/>
      <c r="S233" s="18"/>
      <c r="T233" s="18"/>
      <c r="U233" s="19"/>
      <c r="V233" s="19"/>
    </row>
    <row r="234" spans="1:22" s="14" customFormat="1" ht="30" customHeight="1" outlineLevel="1" x14ac:dyDescent="0.25">
      <c r="A234" s="1110"/>
      <c r="B234" s="1124"/>
      <c r="C234" s="253" t="s">
        <v>35</v>
      </c>
      <c r="D234" s="163">
        <v>239767.74</v>
      </c>
      <c r="E234" s="985"/>
      <c r="F234" s="985"/>
      <c r="G234" s="354">
        <v>273715.15999999997</v>
      </c>
      <c r="H234" s="210">
        <v>42573</v>
      </c>
      <c r="I234" s="430">
        <v>42591</v>
      </c>
      <c r="J234" s="163">
        <v>239767.74</v>
      </c>
      <c r="K234" s="163">
        <v>239767.74</v>
      </c>
      <c r="L234" s="210"/>
      <c r="M234" s="163"/>
      <c r="N234" s="213">
        <v>1</v>
      </c>
      <c r="O234" s="355"/>
      <c r="P234" s="176"/>
      <c r="Q234" s="177"/>
      <c r="R234" s="132"/>
      <c r="S234" s="18"/>
      <c r="T234" s="18"/>
      <c r="U234" s="18"/>
      <c r="V234" s="18"/>
    </row>
    <row r="235" spans="1:22" s="14" customFormat="1" ht="30" customHeight="1" outlineLevel="1" x14ac:dyDescent="0.25">
      <c r="A235" s="1110"/>
      <c r="B235" s="1124"/>
      <c r="C235" s="163" t="s">
        <v>36</v>
      </c>
      <c r="D235" s="163">
        <v>293233.53999999998</v>
      </c>
      <c r="E235" s="985"/>
      <c r="F235" s="985"/>
      <c r="G235" s="354">
        <v>335167.2</v>
      </c>
      <c r="H235" s="210">
        <v>42566</v>
      </c>
      <c r="I235" s="430">
        <v>42591</v>
      </c>
      <c r="J235" s="163">
        <v>293233.53999999998</v>
      </c>
      <c r="K235" s="163">
        <v>293233.53999999998</v>
      </c>
      <c r="L235" s="210"/>
      <c r="M235" s="163"/>
      <c r="N235" s="213">
        <v>1</v>
      </c>
      <c r="O235" s="431"/>
      <c r="P235" s="176"/>
      <c r="Q235" s="177"/>
      <c r="R235" s="132"/>
      <c r="S235" s="18"/>
      <c r="T235" s="18"/>
      <c r="U235" s="18"/>
      <c r="V235" s="18"/>
    </row>
    <row r="236" spans="1:22" s="14" customFormat="1" ht="30" customHeight="1" outlineLevel="1" x14ac:dyDescent="0.25">
      <c r="A236" s="1110"/>
      <c r="B236" s="1124"/>
      <c r="C236" s="163" t="s">
        <v>500</v>
      </c>
      <c r="D236" s="163">
        <v>2623536.48</v>
      </c>
      <c r="E236" s="986"/>
      <c r="F236" s="986"/>
      <c r="G236" s="354">
        <v>4209406.92</v>
      </c>
      <c r="H236" s="212">
        <v>42580</v>
      </c>
      <c r="I236" s="210">
        <v>42591</v>
      </c>
      <c r="J236" s="163">
        <v>2623536.48</v>
      </c>
      <c r="K236" s="163">
        <v>2623536.48</v>
      </c>
      <c r="L236" s="210"/>
      <c r="M236" s="163"/>
      <c r="N236" s="213">
        <v>1</v>
      </c>
      <c r="O236" s="431"/>
      <c r="P236" s="176"/>
      <c r="Q236" s="177"/>
      <c r="R236" s="132"/>
      <c r="S236" s="18"/>
      <c r="T236" s="18"/>
      <c r="U236" s="18"/>
      <c r="V236" s="18"/>
    </row>
    <row r="237" spans="1:22" s="14" customFormat="1" ht="33" outlineLevel="1" x14ac:dyDescent="0.25">
      <c r="A237" s="1110"/>
      <c r="B237" s="1124"/>
      <c r="C237" s="173" t="s">
        <v>501</v>
      </c>
      <c r="D237" s="173">
        <v>6966412.0199999996</v>
      </c>
      <c r="E237" s="432" t="s">
        <v>1089</v>
      </c>
      <c r="F237" s="432" t="s">
        <v>985</v>
      </c>
      <c r="G237" s="433">
        <v>6966412.0199999996</v>
      </c>
      <c r="H237" s="171">
        <v>42776</v>
      </c>
      <c r="I237" s="172"/>
      <c r="J237" s="173"/>
      <c r="K237" s="173"/>
      <c r="L237" s="171"/>
      <c r="M237" s="173"/>
      <c r="N237" s="174">
        <v>0.7</v>
      </c>
      <c r="O237" s="431"/>
      <c r="P237" s="176">
        <v>2017</v>
      </c>
      <c r="Q237" s="177" t="s">
        <v>1123</v>
      </c>
      <c r="R237" s="132"/>
      <c r="S237" s="18"/>
      <c r="T237" s="18"/>
      <c r="U237" s="18"/>
      <c r="V237" s="18"/>
    </row>
    <row r="238" spans="1:22" s="14" customFormat="1" ht="49.5" outlineLevel="1" x14ac:dyDescent="0.25">
      <c r="A238" s="1110"/>
      <c r="B238" s="1124"/>
      <c r="C238" s="356" t="s">
        <v>37</v>
      </c>
      <c r="D238" s="357">
        <v>323331.56</v>
      </c>
      <c r="E238" s="358" t="s">
        <v>545</v>
      </c>
      <c r="F238" s="358" t="s">
        <v>541</v>
      </c>
      <c r="G238" s="359">
        <v>323331.56</v>
      </c>
      <c r="H238" s="360">
        <v>42363</v>
      </c>
      <c r="I238" s="360">
        <v>42426</v>
      </c>
      <c r="J238" s="361">
        <v>323331.56</v>
      </c>
      <c r="K238" s="361">
        <v>323331.56</v>
      </c>
      <c r="L238" s="360"/>
      <c r="M238" s="361">
        <f>J238-D238</f>
        <v>0</v>
      </c>
      <c r="N238" s="362"/>
      <c r="O238" s="363" t="s">
        <v>676</v>
      </c>
      <c r="P238" s="176"/>
      <c r="Q238" s="177"/>
      <c r="R238" s="168"/>
      <c r="S238" s="19"/>
      <c r="T238" s="19"/>
      <c r="U238" s="18"/>
      <c r="V238" s="18"/>
    </row>
    <row r="239" spans="1:22" s="14" customFormat="1" ht="17.25" outlineLevel="1" thickBot="1" x14ac:dyDescent="0.3">
      <c r="A239" s="1105" t="s">
        <v>628</v>
      </c>
      <c r="B239" s="1106"/>
      <c r="C239" s="239"/>
      <c r="D239" s="191">
        <f>SUM(D233:D238)</f>
        <v>11134057.32</v>
      </c>
      <c r="E239" s="239"/>
      <c r="F239" s="239"/>
      <c r="G239" s="434">
        <f>SUM(G233:G238)</f>
        <v>12850578.540000001</v>
      </c>
      <c r="H239" s="239"/>
      <c r="I239" s="321"/>
      <c r="J239" s="191">
        <f>SUM(J233:J238)</f>
        <v>4167645.3000000003</v>
      </c>
      <c r="K239" s="191">
        <f>SUM(K233:K238)</f>
        <v>4167645.3000000003</v>
      </c>
      <c r="L239" s="192"/>
      <c r="M239" s="191"/>
      <c r="N239" s="193">
        <f>AVERAGE(N233:N238)</f>
        <v>0.94000000000000006</v>
      </c>
      <c r="O239" s="435"/>
      <c r="P239" s="176"/>
      <c r="Q239" s="177"/>
      <c r="R239" s="132"/>
      <c r="S239" s="18"/>
      <c r="T239" s="18"/>
      <c r="U239" s="18"/>
      <c r="V239" s="18"/>
    </row>
    <row r="240" spans="1:22" s="8" customFormat="1" ht="19.5" customHeight="1" outlineLevel="1" thickBot="1" x14ac:dyDescent="0.3">
      <c r="A240" s="436"/>
      <c r="B240" s="1078" t="s">
        <v>1097</v>
      </c>
      <c r="C240" s="1079"/>
      <c r="D240" s="437">
        <v>330000</v>
      </c>
      <c r="E240" s="438"/>
      <c r="F240" s="439"/>
      <c r="G240" s="440"/>
      <c r="H240" s="441"/>
      <c r="I240" s="442"/>
      <c r="J240" s="437"/>
      <c r="K240" s="437"/>
      <c r="L240" s="443"/>
      <c r="M240" s="437"/>
      <c r="N240" s="444"/>
      <c r="O240" s="445"/>
      <c r="P240" s="176"/>
      <c r="Q240" s="446"/>
      <c r="R240" s="335"/>
      <c r="S240" s="2"/>
      <c r="T240" s="2"/>
      <c r="U240" s="2"/>
      <c r="V240" s="2"/>
    </row>
    <row r="241" spans="1:22" s="5" customFormat="1" ht="17.25" thickBot="1" x14ac:dyDescent="0.3">
      <c r="A241" s="1056" t="s">
        <v>629</v>
      </c>
      <c r="B241" s="1057"/>
      <c r="C241" s="447"/>
      <c r="D241" s="448">
        <f>D239+D240</f>
        <v>11464057.32</v>
      </c>
      <c r="E241" s="150"/>
      <c r="F241" s="150"/>
      <c r="G241" s="448">
        <f>G239</f>
        <v>12850578.540000001</v>
      </c>
      <c r="H241" s="150"/>
      <c r="I241" s="449"/>
      <c r="J241" s="448">
        <f t="shared" ref="J241:K241" si="0">J239</f>
        <v>4167645.3000000003</v>
      </c>
      <c r="K241" s="448">
        <f t="shared" si="0"/>
        <v>4167645.3000000003</v>
      </c>
      <c r="L241" s="450"/>
      <c r="M241" s="447"/>
      <c r="N241" s="451">
        <f>AVERAGE(N239)</f>
        <v>0.94000000000000006</v>
      </c>
      <c r="O241" s="452"/>
      <c r="P241" s="176"/>
      <c r="Q241" s="177"/>
      <c r="R241" s="132"/>
      <c r="S241" s="18"/>
      <c r="T241" s="18"/>
      <c r="U241" s="19"/>
      <c r="V241" s="19"/>
    </row>
    <row r="242" spans="1:22" s="5" customFormat="1" ht="28.5" customHeight="1" thickBot="1" x14ac:dyDescent="0.3">
      <c r="A242" s="1034" t="s">
        <v>633</v>
      </c>
      <c r="B242" s="1035"/>
      <c r="C242" s="1035"/>
      <c r="D242" s="1035"/>
      <c r="E242" s="1035"/>
      <c r="F242" s="1035"/>
      <c r="G242" s="1035"/>
      <c r="H242" s="1035"/>
      <c r="I242" s="1035"/>
      <c r="J242" s="1035"/>
      <c r="K242" s="1035"/>
      <c r="L242" s="1035"/>
      <c r="M242" s="1035"/>
      <c r="N242" s="1035"/>
      <c r="O242" s="1035"/>
      <c r="P242" s="176"/>
      <c r="Q242" s="177"/>
      <c r="R242" s="132"/>
      <c r="S242" s="18"/>
      <c r="T242" s="18"/>
      <c r="U242" s="19"/>
      <c r="V242" s="19"/>
    </row>
    <row r="243" spans="1:22" s="6" customFormat="1" ht="30" customHeight="1" x14ac:dyDescent="0.25">
      <c r="A243" s="1012">
        <v>1</v>
      </c>
      <c r="B243" s="1004" t="s">
        <v>78</v>
      </c>
      <c r="C243" s="162" t="s">
        <v>500</v>
      </c>
      <c r="D243" s="162">
        <v>9800000</v>
      </c>
      <c r="E243" s="197" t="s">
        <v>967</v>
      </c>
      <c r="F243" s="197" t="s">
        <v>901</v>
      </c>
      <c r="G243" s="353">
        <v>8900000</v>
      </c>
      <c r="H243" s="161">
        <v>42643</v>
      </c>
      <c r="I243" s="161">
        <v>42699</v>
      </c>
      <c r="J243" s="162">
        <v>9106616.9600000009</v>
      </c>
      <c r="K243" s="162">
        <v>9106616.9600000009</v>
      </c>
      <c r="L243" s="161"/>
      <c r="M243" s="162"/>
      <c r="N243" s="200">
        <v>0.9</v>
      </c>
      <c r="O243" s="453"/>
      <c r="P243" s="176"/>
      <c r="Q243" s="201" t="s">
        <v>1114</v>
      </c>
      <c r="R243" s="132"/>
      <c r="S243" s="18"/>
      <c r="T243" s="18"/>
      <c r="U243" s="9"/>
      <c r="V243" s="9"/>
    </row>
    <row r="244" spans="1:22" s="8" customFormat="1" ht="49.5" outlineLevel="1" x14ac:dyDescent="0.25">
      <c r="A244" s="1013"/>
      <c r="B244" s="1005"/>
      <c r="C244" s="356" t="s">
        <v>37</v>
      </c>
      <c r="D244" s="357">
        <v>76916.899999999994</v>
      </c>
      <c r="E244" s="358" t="s">
        <v>538</v>
      </c>
      <c r="F244" s="358" t="s">
        <v>539</v>
      </c>
      <c r="G244" s="359">
        <v>76916.899999999994</v>
      </c>
      <c r="H244" s="360">
        <v>42348</v>
      </c>
      <c r="I244" s="360">
        <v>42627</v>
      </c>
      <c r="J244" s="361">
        <v>76916.91</v>
      </c>
      <c r="K244" s="361">
        <v>76916.91</v>
      </c>
      <c r="L244" s="360"/>
      <c r="M244" s="361"/>
      <c r="N244" s="362"/>
      <c r="O244" s="363" t="s">
        <v>871</v>
      </c>
      <c r="P244" s="176"/>
      <c r="Q244" s="177"/>
      <c r="R244" s="132"/>
      <c r="S244" s="18"/>
      <c r="T244" s="18"/>
      <c r="U244" s="2"/>
      <c r="V244" s="2"/>
    </row>
    <row r="245" spans="1:22" s="8" customFormat="1" ht="17.25" outlineLevel="1" thickBot="1" x14ac:dyDescent="0.3">
      <c r="A245" s="1006" t="s">
        <v>628</v>
      </c>
      <c r="B245" s="1007"/>
      <c r="C245" s="454"/>
      <c r="D245" s="365">
        <f>SUM(D243:D244)</f>
        <v>9876916.9000000004</v>
      </c>
      <c r="E245" s="239"/>
      <c r="F245" s="239"/>
      <c r="G245" s="366">
        <f>SUM(G243:G244)</f>
        <v>8976916.9000000004</v>
      </c>
      <c r="H245" s="239"/>
      <c r="I245" s="321"/>
      <c r="J245" s="365">
        <f>SUM(J243:J244)</f>
        <v>9183533.870000001</v>
      </c>
      <c r="K245" s="365">
        <f>SUM(K243:K244)</f>
        <v>9183533.870000001</v>
      </c>
      <c r="L245" s="367"/>
      <c r="M245" s="365"/>
      <c r="N245" s="368">
        <f>AVERAGE(N243:N244)</f>
        <v>0.9</v>
      </c>
      <c r="O245" s="455"/>
      <c r="P245" s="176"/>
      <c r="Q245" s="177"/>
      <c r="R245" s="132"/>
      <c r="S245" s="18"/>
      <c r="T245" s="18"/>
      <c r="U245" s="2"/>
      <c r="V245" s="2"/>
    </row>
    <row r="246" spans="1:22" s="76" customFormat="1" ht="27.75" customHeight="1" x14ac:dyDescent="0.25">
      <c r="A246" s="1012">
        <v>2</v>
      </c>
      <c r="B246" s="1004" t="s">
        <v>79</v>
      </c>
      <c r="C246" s="162" t="s">
        <v>500</v>
      </c>
      <c r="D246" s="162">
        <v>3522658.58</v>
      </c>
      <c r="E246" s="197" t="s">
        <v>954</v>
      </c>
      <c r="F246" s="197" t="s">
        <v>955</v>
      </c>
      <c r="G246" s="353">
        <v>4169149</v>
      </c>
      <c r="H246" s="161">
        <v>42618</v>
      </c>
      <c r="I246" s="161">
        <v>42660</v>
      </c>
      <c r="J246" s="162">
        <v>3522658.58</v>
      </c>
      <c r="K246" s="162">
        <v>3522658.58</v>
      </c>
      <c r="L246" s="161"/>
      <c r="M246" s="162"/>
      <c r="N246" s="200">
        <v>1</v>
      </c>
      <c r="O246" s="456"/>
      <c r="P246" s="176"/>
      <c r="Q246" s="201" t="s">
        <v>1116</v>
      </c>
      <c r="R246" s="383"/>
      <c r="S246" s="67"/>
      <c r="T246" s="67"/>
      <c r="U246" s="72"/>
      <c r="V246" s="72"/>
    </row>
    <row r="247" spans="1:22" s="8" customFormat="1" ht="49.5" outlineLevel="1" x14ac:dyDescent="0.25">
      <c r="A247" s="1013"/>
      <c r="B247" s="1005"/>
      <c r="C247" s="356" t="s">
        <v>37</v>
      </c>
      <c r="D247" s="357">
        <v>75375.92</v>
      </c>
      <c r="E247" s="358" t="s">
        <v>538</v>
      </c>
      <c r="F247" s="358" t="s">
        <v>539</v>
      </c>
      <c r="G247" s="359">
        <v>75375.92</v>
      </c>
      <c r="H247" s="360">
        <v>42348</v>
      </c>
      <c r="I247" s="360">
        <v>42627</v>
      </c>
      <c r="J247" s="361">
        <v>75375.92</v>
      </c>
      <c r="K247" s="361">
        <v>75375.92</v>
      </c>
      <c r="L247" s="360"/>
      <c r="M247" s="361"/>
      <c r="N247" s="362"/>
      <c r="O247" s="363" t="s">
        <v>871</v>
      </c>
      <c r="P247" s="176"/>
      <c r="Q247" s="177"/>
      <c r="R247" s="132"/>
      <c r="S247" s="18"/>
      <c r="T247" s="18"/>
      <c r="U247" s="2"/>
      <c r="V247" s="2"/>
    </row>
    <row r="248" spans="1:22" s="8" customFormat="1" ht="17.25" outlineLevel="1" thickBot="1" x14ac:dyDescent="0.3">
      <c r="A248" s="1006" t="s">
        <v>628</v>
      </c>
      <c r="B248" s="1007"/>
      <c r="C248" s="454"/>
      <c r="D248" s="365">
        <f>SUM(D246:D247)</f>
        <v>3598034.5</v>
      </c>
      <c r="E248" s="188"/>
      <c r="F248" s="188"/>
      <c r="G248" s="366">
        <f>SUM(G246:G247)</f>
        <v>4244524.92</v>
      </c>
      <c r="H248" s="188"/>
      <c r="I248" s="190"/>
      <c r="J248" s="365">
        <f>SUM(J246:J247)</f>
        <v>3598034.5</v>
      </c>
      <c r="K248" s="365">
        <f>SUM(K246:K247)</f>
        <v>3598034.5</v>
      </c>
      <c r="L248" s="367"/>
      <c r="M248" s="365"/>
      <c r="N248" s="368">
        <f>AVERAGE(N246:N247)</f>
        <v>1</v>
      </c>
      <c r="O248" s="455"/>
      <c r="P248" s="176"/>
      <c r="Q248" s="177"/>
      <c r="R248" s="168"/>
      <c r="S248" s="19"/>
      <c r="T248" s="19"/>
      <c r="U248" s="2"/>
      <c r="V248" s="2"/>
    </row>
    <row r="249" spans="1:22" s="76" customFormat="1" ht="33" x14ac:dyDescent="0.25">
      <c r="A249" s="1012">
        <v>3</v>
      </c>
      <c r="B249" s="1004" t="s">
        <v>502</v>
      </c>
      <c r="C249" s="162" t="s">
        <v>500</v>
      </c>
      <c r="D249" s="162">
        <v>7547569.0999999996</v>
      </c>
      <c r="E249" s="197" t="s">
        <v>1080</v>
      </c>
      <c r="F249" s="197" t="s">
        <v>901</v>
      </c>
      <c r="G249" s="353">
        <v>7547569.0999999996</v>
      </c>
      <c r="H249" s="161">
        <v>42673</v>
      </c>
      <c r="I249" s="161">
        <v>42724</v>
      </c>
      <c r="J249" s="162">
        <v>4859935.0199999996</v>
      </c>
      <c r="K249" s="162">
        <v>4859935.0199999996</v>
      </c>
      <c r="L249" s="161"/>
      <c r="M249" s="162"/>
      <c r="N249" s="200">
        <v>0.15</v>
      </c>
      <c r="O249" s="456"/>
      <c r="P249" s="457"/>
      <c r="Q249" s="458" t="s">
        <v>1114</v>
      </c>
      <c r="R249" s="383"/>
      <c r="S249" s="67"/>
      <c r="T249" s="67"/>
      <c r="U249" s="72"/>
      <c r="V249" s="72"/>
    </row>
    <row r="250" spans="1:22" s="8" customFormat="1" ht="49.5" outlineLevel="1" x14ac:dyDescent="0.25">
      <c r="A250" s="1013"/>
      <c r="B250" s="1005"/>
      <c r="C250" s="356" t="s">
        <v>37</v>
      </c>
      <c r="D250" s="357">
        <f>78524.08*1.18</f>
        <v>92658.414399999994</v>
      </c>
      <c r="E250" s="358" t="s">
        <v>560</v>
      </c>
      <c r="F250" s="358" t="s">
        <v>539</v>
      </c>
      <c r="G250" s="359">
        <f>78524.08*1.18</f>
        <v>92658.414399999994</v>
      </c>
      <c r="H250" s="360">
        <v>42429</v>
      </c>
      <c r="I250" s="360">
        <v>42429</v>
      </c>
      <c r="J250" s="361">
        <v>92658.41</v>
      </c>
      <c r="K250" s="361">
        <v>92658.41</v>
      </c>
      <c r="L250" s="360"/>
      <c r="M250" s="361">
        <f>J250-D250</f>
        <v>-4.3999999907100573E-3</v>
      </c>
      <c r="N250" s="362"/>
      <c r="O250" s="363" t="s">
        <v>871</v>
      </c>
      <c r="P250" s="176"/>
      <c r="Q250" s="177"/>
      <c r="R250" s="132"/>
      <c r="S250" s="18"/>
      <c r="T250" s="18"/>
      <c r="U250" s="2"/>
      <c r="V250" s="2"/>
    </row>
    <row r="251" spans="1:22" s="8" customFormat="1" ht="17.25" outlineLevel="1" thickBot="1" x14ac:dyDescent="0.3">
      <c r="A251" s="1006" t="s">
        <v>628</v>
      </c>
      <c r="B251" s="1007"/>
      <c r="C251" s="454"/>
      <c r="D251" s="365">
        <f>SUM(D249:D250)</f>
        <v>7640227.5143999998</v>
      </c>
      <c r="E251" s="239"/>
      <c r="F251" s="239"/>
      <c r="G251" s="366">
        <f>SUM(G249:G250)</f>
        <v>7640227.5143999998</v>
      </c>
      <c r="H251" s="239"/>
      <c r="I251" s="321"/>
      <c r="J251" s="365">
        <f>SUM(J249:J250)</f>
        <v>4952593.43</v>
      </c>
      <c r="K251" s="365">
        <f>SUM(K249:K250)</f>
        <v>4952593.43</v>
      </c>
      <c r="L251" s="367"/>
      <c r="M251" s="365"/>
      <c r="N251" s="368">
        <f>AVERAGE(N249:N250)</f>
        <v>0.15</v>
      </c>
      <c r="O251" s="455"/>
      <c r="P251" s="176"/>
      <c r="Q251" s="177"/>
      <c r="R251" s="132"/>
      <c r="S251" s="18"/>
      <c r="T251" s="18"/>
      <c r="U251" s="2"/>
      <c r="V251" s="2"/>
    </row>
    <row r="252" spans="1:22" s="6" customFormat="1" ht="49.5" x14ac:dyDescent="0.25">
      <c r="A252" s="1012">
        <v>4</v>
      </c>
      <c r="B252" s="1004" t="s">
        <v>80</v>
      </c>
      <c r="C252" s="162" t="s">
        <v>38</v>
      </c>
      <c r="D252" s="162">
        <v>2222008.6800000002</v>
      </c>
      <c r="E252" s="197" t="s">
        <v>1040</v>
      </c>
      <c r="F252" s="197" t="s">
        <v>882</v>
      </c>
      <c r="G252" s="353">
        <v>2034417.02</v>
      </c>
      <c r="H252" s="161">
        <v>42643</v>
      </c>
      <c r="I252" s="161">
        <v>42668</v>
      </c>
      <c r="J252" s="162">
        <v>2222008.6800000002</v>
      </c>
      <c r="K252" s="162">
        <v>2222008.6800000002</v>
      </c>
      <c r="L252" s="161"/>
      <c r="M252" s="162"/>
      <c r="N252" s="200">
        <v>1</v>
      </c>
      <c r="O252" s="456"/>
      <c r="P252" s="176"/>
      <c r="Q252" s="201" t="s">
        <v>1124</v>
      </c>
      <c r="R252" s="132"/>
      <c r="S252" s="18"/>
      <c r="T252" s="18"/>
      <c r="U252" s="9"/>
      <c r="V252" s="9"/>
    </row>
    <row r="253" spans="1:22" s="8" customFormat="1" ht="33" outlineLevel="1" x14ac:dyDescent="0.25">
      <c r="A253" s="1013"/>
      <c r="B253" s="1005"/>
      <c r="C253" s="163" t="s">
        <v>35</v>
      </c>
      <c r="D253" s="163">
        <v>786614.36</v>
      </c>
      <c r="E253" s="273" t="s">
        <v>1040</v>
      </c>
      <c r="F253" s="253" t="s">
        <v>882</v>
      </c>
      <c r="G253" s="354">
        <v>765582.98</v>
      </c>
      <c r="H253" s="210">
        <v>42643</v>
      </c>
      <c r="I253" s="210">
        <v>42660</v>
      </c>
      <c r="J253" s="163">
        <v>786614.36</v>
      </c>
      <c r="K253" s="163">
        <v>786614.36</v>
      </c>
      <c r="L253" s="210"/>
      <c r="M253" s="163"/>
      <c r="N253" s="213">
        <v>1</v>
      </c>
      <c r="O253" s="300"/>
      <c r="P253" s="176"/>
      <c r="Q253" s="201" t="s">
        <v>1116</v>
      </c>
      <c r="R253" s="132"/>
      <c r="S253" s="18"/>
      <c r="T253" s="18"/>
      <c r="U253" s="2"/>
      <c r="V253" s="2"/>
    </row>
    <row r="254" spans="1:22" s="8" customFormat="1" ht="33" outlineLevel="1" x14ac:dyDescent="0.25">
      <c r="A254" s="1013"/>
      <c r="B254" s="1005"/>
      <c r="C254" s="303" t="s">
        <v>501</v>
      </c>
      <c r="D254" s="303">
        <v>28495000</v>
      </c>
      <c r="E254" s="432" t="s">
        <v>1177</v>
      </c>
      <c r="F254" s="432" t="s">
        <v>828</v>
      </c>
      <c r="G254" s="459">
        <v>12248000</v>
      </c>
      <c r="H254" s="171">
        <v>42867</v>
      </c>
      <c r="I254" s="172"/>
      <c r="J254" s="173"/>
      <c r="K254" s="173"/>
      <c r="L254" s="171"/>
      <c r="M254" s="173"/>
      <c r="N254" s="460">
        <v>0</v>
      </c>
      <c r="O254" s="300"/>
      <c r="P254" s="176">
        <v>2017</v>
      </c>
      <c r="Q254" s="177"/>
      <c r="R254" s="132"/>
      <c r="S254" s="18"/>
      <c r="T254" s="18"/>
      <c r="U254" s="2"/>
      <c r="V254" s="2"/>
    </row>
    <row r="255" spans="1:22" s="8" customFormat="1" ht="49.5" outlineLevel="1" x14ac:dyDescent="0.25">
      <c r="A255" s="1013"/>
      <c r="B255" s="1005"/>
      <c r="C255" s="356" t="s">
        <v>37</v>
      </c>
      <c r="D255" s="357">
        <v>314546.65000000002</v>
      </c>
      <c r="E255" s="358" t="s">
        <v>538</v>
      </c>
      <c r="F255" s="358" t="s">
        <v>539</v>
      </c>
      <c r="G255" s="359">
        <v>314546.63250367146</v>
      </c>
      <c r="H255" s="360">
        <v>42348</v>
      </c>
      <c r="I255" s="360">
        <v>42627</v>
      </c>
      <c r="J255" s="361">
        <v>314546.65000000002</v>
      </c>
      <c r="K255" s="361">
        <v>314546.65000000002</v>
      </c>
      <c r="L255" s="360"/>
      <c r="M255" s="361"/>
      <c r="N255" s="362"/>
      <c r="O255" s="363" t="s">
        <v>871</v>
      </c>
      <c r="P255" s="176"/>
      <c r="Q255" s="177"/>
      <c r="R255" s="132"/>
      <c r="S255" s="18"/>
      <c r="T255" s="18"/>
      <c r="U255" s="2"/>
      <c r="V255" s="2"/>
    </row>
    <row r="256" spans="1:22" s="8" customFormat="1" ht="17.25" outlineLevel="1" thickBot="1" x14ac:dyDescent="0.3">
      <c r="A256" s="1010" t="s">
        <v>628</v>
      </c>
      <c r="B256" s="1011"/>
      <c r="C256" s="461"/>
      <c r="D256" s="378">
        <f>SUM(D252:D255)</f>
        <v>31818169.689999998</v>
      </c>
      <c r="E256" s="247"/>
      <c r="F256" s="247"/>
      <c r="G256" s="379">
        <f>SUM(G252:G255)</f>
        <v>15362546.632503672</v>
      </c>
      <c r="H256" s="247"/>
      <c r="I256" s="277"/>
      <c r="J256" s="378">
        <f>SUM(J252:J255)</f>
        <v>3323169.69</v>
      </c>
      <c r="K256" s="378">
        <f>SUM(K252:K255)</f>
        <v>3323169.69</v>
      </c>
      <c r="L256" s="380"/>
      <c r="M256" s="378"/>
      <c r="N256" s="395">
        <f>AVERAGE(N252:N255)</f>
        <v>0.66666666666666663</v>
      </c>
      <c r="O256" s="462"/>
      <c r="P256" s="176"/>
      <c r="Q256" s="177"/>
      <c r="R256" s="132"/>
      <c r="S256" s="18"/>
      <c r="T256" s="18"/>
      <c r="U256" s="2"/>
      <c r="V256" s="2"/>
    </row>
    <row r="257" spans="1:22" s="6" customFormat="1" ht="38.25" customHeight="1" x14ac:dyDescent="0.25">
      <c r="A257" s="1012">
        <v>5</v>
      </c>
      <c r="B257" s="1004" t="s">
        <v>503</v>
      </c>
      <c r="C257" s="162" t="s">
        <v>500</v>
      </c>
      <c r="D257" s="162">
        <v>6566292.1200000001</v>
      </c>
      <c r="E257" s="197" t="s">
        <v>984</v>
      </c>
      <c r="F257" s="197" t="s">
        <v>862</v>
      </c>
      <c r="G257" s="353">
        <v>6566292.1200000001</v>
      </c>
      <c r="H257" s="161">
        <v>42639</v>
      </c>
      <c r="I257" s="161">
        <v>42684</v>
      </c>
      <c r="J257" s="162">
        <v>5861990.7599999998</v>
      </c>
      <c r="K257" s="162">
        <v>5861990.7599999998</v>
      </c>
      <c r="L257" s="161">
        <v>42697</v>
      </c>
      <c r="M257" s="199"/>
      <c r="N257" s="200">
        <v>1</v>
      </c>
      <c r="O257" s="453"/>
      <c r="P257" s="176"/>
      <c r="Q257" s="201" t="s">
        <v>1121</v>
      </c>
      <c r="R257" s="168"/>
      <c r="S257" s="19"/>
      <c r="T257" s="19"/>
      <c r="U257" s="9"/>
      <c r="V257" s="9"/>
    </row>
    <row r="258" spans="1:22" s="8" customFormat="1" ht="49.5" outlineLevel="1" x14ac:dyDescent="0.25">
      <c r="A258" s="1013"/>
      <c r="B258" s="1005"/>
      <c r="C258" s="356" t="s">
        <v>37</v>
      </c>
      <c r="D258" s="357">
        <v>107384.6</v>
      </c>
      <c r="E258" s="358" t="s">
        <v>560</v>
      </c>
      <c r="F258" s="358" t="s">
        <v>539</v>
      </c>
      <c r="G258" s="359">
        <f>91003.93*1.18</f>
        <v>107384.63739999999</v>
      </c>
      <c r="H258" s="360">
        <v>42429</v>
      </c>
      <c r="I258" s="360">
        <v>42429</v>
      </c>
      <c r="J258" s="361">
        <v>107384.64</v>
      </c>
      <c r="K258" s="361">
        <v>107384.64</v>
      </c>
      <c r="L258" s="360"/>
      <c r="M258" s="361">
        <f>J258-D258</f>
        <v>3.9999999993597157E-2</v>
      </c>
      <c r="N258" s="362"/>
      <c r="O258" s="363" t="s">
        <v>871</v>
      </c>
      <c r="P258" s="176"/>
      <c r="Q258" s="177"/>
      <c r="R258" s="132"/>
      <c r="S258" s="18"/>
      <c r="T258" s="18"/>
      <c r="U258" s="2"/>
      <c r="V258" s="2"/>
    </row>
    <row r="259" spans="1:22" s="8" customFormat="1" ht="17.25" outlineLevel="1" thickBot="1" x14ac:dyDescent="0.3">
      <c r="A259" s="1006" t="s">
        <v>628</v>
      </c>
      <c r="B259" s="1007"/>
      <c r="C259" s="454"/>
      <c r="D259" s="365">
        <f>SUM(D257:D258)</f>
        <v>6673676.7199999997</v>
      </c>
      <c r="E259" s="239"/>
      <c r="F259" s="239"/>
      <c r="G259" s="366">
        <f>SUM(G257:G258)</f>
        <v>6673676.7574000005</v>
      </c>
      <c r="H259" s="239"/>
      <c r="I259" s="321"/>
      <c r="J259" s="365">
        <f>SUM(J257:J258)</f>
        <v>5969375.3999999994</v>
      </c>
      <c r="K259" s="365">
        <f>SUM(K257:K258)</f>
        <v>5969375.3999999994</v>
      </c>
      <c r="L259" s="367"/>
      <c r="M259" s="365"/>
      <c r="N259" s="368">
        <f>AVERAGE(N257:N258)</f>
        <v>1</v>
      </c>
      <c r="O259" s="455"/>
      <c r="P259" s="176"/>
      <c r="Q259" s="177"/>
      <c r="R259" s="132"/>
      <c r="S259" s="18"/>
      <c r="T259" s="18"/>
      <c r="U259" s="2"/>
      <c r="V259" s="2"/>
    </row>
    <row r="260" spans="1:22" s="6" customFormat="1" ht="33" x14ac:dyDescent="0.25">
      <c r="A260" s="1012">
        <v>6</v>
      </c>
      <c r="B260" s="1004" t="s">
        <v>81</v>
      </c>
      <c r="C260" s="372" t="s">
        <v>501</v>
      </c>
      <c r="D260" s="372">
        <v>19450000</v>
      </c>
      <c r="E260" s="220" t="s">
        <v>1267</v>
      </c>
      <c r="F260" s="220" t="s">
        <v>661</v>
      </c>
      <c r="G260" s="463">
        <v>19450000</v>
      </c>
      <c r="H260" s="223">
        <v>42791</v>
      </c>
      <c r="I260" s="224"/>
      <c r="J260" s="225"/>
      <c r="K260" s="225"/>
      <c r="L260" s="226"/>
      <c r="M260" s="225"/>
      <c r="N260" s="376">
        <v>0</v>
      </c>
      <c r="O260" s="453"/>
      <c r="P260" s="176">
        <v>2017</v>
      </c>
      <c r="Q260" s="177"/>
      <c r="R260" s="168"/>
      <c r="S260" s="19"/>
      <c r="T260" s="19"/>
      <c r="U260" s="9"/>
      <c r="V260" s="9"/>
    </row>
    <row r="261" spans="1:22" s="8" customFormat="1" ht="49.5" outlineLevel="1" x14ac:dyDescent="0.25">
      <c r="A261" s="1013"/>
      <c r="B261" s="1005"/>
      <c r="C261" s="356" t="s">
        <v>37</v>
      </c>
      <c r="D261" s="357">
        <v>101237.22</v>
      </c>
      <c r="E261" s="358" t="s">
        <v>538</v>
      </c>
      <c r="F261" s="358" t="s">
        <v>539</v>
      </c>
      <c r="G261" s="359">
        <v>101237.22</v>
      </c>
      <c r="H261" s="360">
        <v>42348</v>
      </c>
      <c r="I261" s="360">
        <v>42627</v>
      </c>
      <c r="J261" s="361">
        <v>101237.22</v>
      </c>
      <c r="K261" s="361">
        <v>101237.22</v>
      </c>
      <c r="L261" s="360"/>
      <c r="M261" s="361"/>
      <c r="N261" s="362"/>
      <c r="O261" s="363" t="s">
        <v>871</v>
      </c>
      <c r="P261" s="176"/>
      <c r="Q261" s="177"/>
      <c r="R261" s="132"/>
      <c r="S261" s="18"/>
      <c r="T261" s="18"/>
      <c r="U261" s="2"/>
      <c r="V261" s="2"/>
    </row>
    <row r="262" spans="1:22" s="8" customFormat="1" ht="17.25" outlineLevel="1" thickBot="1" x14ac:dyDescent="0.3">
      <c r="A262" s="1006" t="s">
        <v>628</v>
      </c>
      <c r="B262" s="1007"/>
      <c r="C262" s="454"/>
      <c r="D262" s="365">
        <f>SUM(D260:D261)</f>
        <v>19551237.219999999</v>
      </c>
      <c r="E262" s="239"/>
      <c r="F262" s="239"/>
      <c r="G262" s="366">
        <f>SUM(G260:G261)</f>
        <v>19551237.219999999</v>
      </c>
      <c r="H262" s="239"/>
      <c r="I262" s="321"/>
      <c r="J262" s="365">
        <f>SUM(J260:J261)</f>
        <v>101237.22</v>
      </c>
      <c r="K262" s="365">
        <f>SUM(K260:K261)</f>
        <v>101237.22</v>
      </c>
      <c r="L262" s="367"/>
      <c r="M262" s="365"/>
      <c r="N262" s="368">
        <f>AVERAGE(N260:N261)</f>
        <v>0</v>
      </c>
      <c r="O262" s="455"/>
      <c r="P262" s="176"/>
      <c r="Q262" s="177"/>
      <c r="R262" s="132"/>
      <c r="S262" s="18"/>
      <c r="T262" s="18"/>
      <c r="U262" s="2"/>
      <c r="V262" s="2"/>
    </row>
    <row r="263" spans="1:22" s="6" customFormat="1" ht="39" customHeight="1" x14ac:dyDescent="0.25">
      <c r="A263" s="1012">
        <v>7</v>
      </c>
      <c r="B263" s="1004" t="s">
        <v>95</v>
      </c>
      <c r="C263" s="162" t="s">
        <v>500</v>
      </c>
      <c r="D263" s="162">
        <v>2420354.7000000002</v>
      </c>
      <c r="E263" s="197" t="s">
        <v>984</v>
      </c>
      <c r="F263" s="197" t="s">
        <v>862</v>
      </c>
      <c r="G263" s="353">
        <v>2433707.88</v>
      </c>
      <c r="H263" s="161">
        <v>42622</v>
      </c>
      <c r="I263" s="161">
        <v>42625</v>
      </c>
      <c r="J263" s="162">
        <v>2420354.7000000002</v>
      </c>
      <c r="K263" s="162">
        <v>2420354.7000000002</v>
      </c>
      <c r="L263" s="161"/>
      <c r="M263" s="162"/>
      <c r="N263" s="200">
        <v>1</v>
      </c>
      <c r="O263" s="453"/>
      <c r="P263" s="176"/>
      <c r="Q263" s="201" t="s">
        <v>1116</v>
      </c>
      <c r="R263" s="132"/>
      <c r="S263" s="18"/>
      <c r="T263" s="18"/>
      <c r="U263" s="9"/>
      <c r="V263" s="9"/>
    </row>
    <row r="264" spans="1:22" s="8" customFormat="1" ht="49.5" outlineLevel="1" x14ac:dyDescent="0.25">
      <c r="A264" s="1013"/>
      <c r="B264" s="1005"/>
      <c r="C264" s="356" t="s">
        <v>37</v>
      </c>
      <c r="D264" s="357">
        <f>68190.25*1.18</f>
        <v>80464.494999999995</v>
      </c>
      <c r="E264" s="358" t="s">
        <v>560</v>
      </c>
      <c r="F264" s="358" t="s">
        <v>539</v>
      </c>
      <c r="G264" s="359">
        <f>68190.25*1.18</f>
        <v>80464.494999999995</v>
      </c>
      <c r="H264" s="360">
        <v>42429</v>
      </c>
      <c r="I264" s="360">
        <v>42429</v>
      </c>
      <c r="J264" s="361">
        <v>80464.5</v>
      </c>
      <c r="K264" s="361">
        <v>80464.5</v>
      </c>
      <c r="L264" s="360"/>
      <c r="M264" s="361">
        <f>J264-D264</f>
        <v>5.0000000046566129E-3</v>
      </c>
      <c r="N264" s="362"/>
      <c r="O264" s="363" t="s">
        <v>871</v>
      </c>
      <c r="P264" s="176"/>
      <c r="Q264" s="177"/>
      <c r="R264" s="168"/>
      <c r="S264" s="19"/>
      <c r="T264" s="19"/>
      <c r="U264" s="2"/>
      <c r="V264" s="2"/>
    </row>
    <row r="265" spans="1:22" s="8" customFormat="1" ht="17.25" outlineLevel="1" thickBot="1" x14ac:dyDescent="0.3">
      <c r="A265" s="1006" t="s">
        <v>628</v>
      </c>
      <c r="B265" s="1007"/>
      <c r="C265" s="454"/>
      <c r="D265" s="365">
        <f>SUM(D263:D264)</f>
        <v>2500819.1950000003</v>
      </c>
      <c r="E265" s="239"/>
      <c r="F265" s="239"/>
      <c r="G265" s="366">
        <f>SUM(G263:G264)</f>
        <v>2514172.375</v>
      </c>
      <c r="H265" s="239"/>
      <c r="I265" s="321"/>
      <c r="J265" s="365">
        <f>SUM(J263:J264)</f>
        <v>2500819.2000000002</v>
      </c>
      <c r="K265" s="365">
        <f>SUM(K263:K264)</f>
        <v>2500819.2000000002</v>
      </c>
      <c r="L265" s="367"/>
      <c r="M265" s="365"/>
      <c r="N265" s="368">
        <f>AVERAGE(N263:N264)</f>
        <v>1</v>
      </c>
      <c r="O265" s="455"/>
      <c r="P265" s="176"/>
      <c r="Q265" s="177"/>
      <c r="R265" s="132"/>
      <c r="S265" s="18"/>
      <c r="T265" s="18"/>
      <c r="U265" s="2"/>
      <c r="V265" s="2"/>
    </row>
    <row r="266" spans="1:22" s="6" customFormat="1" ht="40.5" customHeight="1" x14ac:dyDescent="0.25">
      <c r="A266" s="1012">
        <v>8</v>
      </c>
      <c r="B266" s="1004" t="s">
        <v>85</v>
      </c>
      <c r="C266" s="162" t="s">
        <v>500</v>
      </c>
      <c r="D266" s="162">
        <v>3406527.84</v>
      </c>
      <c r="E266" s="197" t="s">
        <v>900</v>
      </c>
      <c r="F266" s="197" t="s">
        <v>901</v>
      </c>
      <c r="G266" s="353">
        <v>3585117.8</v>
      </c>
      <c r="H266" s="161">
        <v>42578</v>
      </c>
      <c r="I266" s="161">
        <v>42581</v>
      </c>
      <c r="J266" s="162">
        <v>3406527.84</v>
      </c>
      <c r="K266" s="162">
        <v>3406527.84</v>
      </c>
      <c r="L266" s="161"/>
      <c r="M266" s="162"/>
      <c r="N266" s="200">
        <v>1</v>
      </c>
      <c r="O266" s="453"/>
      <c r="P266" s="176"/>
      <c r="Q266" s="177"/>
      <c r="R266" s="132"/>
      <c r="S266" s="18"/>
      <c r="T266" s="18"/>
      <c r="U266" s="9"/>
      <c r="V266" s="9"/>
    </row>
    <row r="267" spans="1:22" s="8" customFormat="1" ht="49.5" outlineLevel="1" x14ac:dyDescent="0.25">
      <c r="A267" s="1013"/>
      <c r="B267" s="1005"/>
      <c r="C267" s="356" t="s">
        <v>37</v>
      </c>
      <c r="D267" s="357">
        <f>64161.35*1.18</f>
        <v>75710.392999999996</v>
      </c>
      <c r="E267" s="358" t="s">
        <v>560</v>
      </c>
      <c r="F267" s="358" t="s">
        <v>539</v>
      </c>
      <c r="G267" s="359">
        <f>64161.35*1.18</f>
        <v>75710.392999999996</v>
      </c>
      <c r="H267" s="360">
        <v>42429</v>
      </c>
      <c r="I267" s="360">
        <v>42429</v>
      </c>
      <c r="J267" s="361">
        <v>75710.39</v>
      </c>
      <c r="K267" s="361">
        <v>75710.39</v>
      </c>
      <c r="L267" s="360"/>
      <c r="M267" s="361">
        <f>J267-D267</f>
        <v>-2.9999999969732016E-3</v>
      </c>
      <c r="N267" s="362"/>
      <c r="O267" s="363" t="s">
        <v>871</v>
      </c>
      <c r="P267" s="176"/>
      <c r="Q267" s="177"/>
      <c r="R267" s="168"/>
      <c r="S267" s="19"/>
      <c r="T267" s="19"/>
      <c r="U267" s="2"/>
      <c r="V267" s="2"/>
    </row>
    <row r="268" spans="1:22" s="8" customFormat="1" ht="17.25" outlineLevel="1" thickBot="1" x14ac:dyDescent="0.3">
      <c r="A268" s="1006" t="s">
        <v>628</v>
      </c>
      <c r="B268" s="1007"/>
      <c r="C268" s="454"/>
      <c r="D268" s="365">
        <f>SUM(D266:D267)</f>
        <v>3482238.233</v>
      </c>
      <c r="E268" s="239"/>
      <c r="F268" s="239"/>
      <c r="G268" s="366">
        <f>SUM(G266:G267)</f>
        <v>3660828.193</v>
      </c>
      <c r="H268" s="239"/>
      <c r="I268" s="321"/>
      <c r="J268" s="365">
        <f>SUM(J266:J267)</f>
        <v>3482238.23</v>
      </c>
      <c r="K268" s="365">
        <f>SUM(K266:K267)</f>
        <v>3482238.23</v>
      </c>
      <c r="L268" s="367"/>
      <c r="M268" s="365"/>
      <c r="N268" s="368">
        <f>AVERAGE(N266:N267)</f>
        <v>1</v>
      </c>
      <c r="O268" s="455"/>
      <c r="P268" s="176"/>
      <c r="Q268" s="177"/>
      <c r="R268" s="132"/>
      <c r="S268" s="18"/>
      <c r="T268" s="18"/>
      <c r="U268" s="2"/>
      <c r="V268" s="2"/>
    </row>
    <row r="269" spans="1:22" s="6" customFormat="1" ht="33" x14ac:dyDescent="0.25">
      <c r="A269" s="1012">
        <v>9</v>
      </c>
      <c r="B269" s="1004" t="s">
        <v>86</v>
      </c>
      <c r="C269" s="162" t="s">
        <v>500</v>
      </c>
      <c r="D269" s="162">
        <v>7943067.3399999999</v>
      </c>
      <c r="E269" s="197" t="s">
        <v>900</v>
      </c>
      <c r="F269" s="197" t="s">
        <v>901</v>
      </c>
      <c r="G269" s="353">
        <v>8414882.1999999993</v>
      </c>
      <c r="H269" s="161">
        <v>42582</v>
      </c>
      <c r="I269" s="161">
        <v>42581</v>
      </c>
      <c r="J269" s="162">
        <v>7943067.3399999999</v>
      </c>
      <c r="K269" s="162">
        <v>7943067.3399999999</v>
      </c>
      <c r="L269" s="161"/>
      <c r="M269" s="162"/>
      <c r="N269" s="200">
        <v>1</v>
      </c>
      <c r="O269" s="453"/>
      <c r="P269" s="176"/>
      <c r="Q269" s="177"/>
      <c r="R269" s="132"/>
      <c r="S269" s="18"/>
      <c r="T269" s="18"/>
      <c r="U269" s="9"/>
      <c r="V269" s="9"/>
    </row>
    <row r="270" spans="1:22" s="8" customFormat="1" ht="49.5" outlineLevel="1" x14ac:dyDescent="0.25">
      <c r="A270" s="1013"/>
      <c r="B270" s="1005"/>
      <c r="C270" s="356" t="s">
        <v>37</v>
      </c>
      <c r="D270" s="357">
        <f>64208.73*1.18</f>
        <v>75766.301399999997</v>
      </c>
      <c r="E270" s="358" t="s">
        <v>560</v>
      </c>
      <c r="F270" s="358" t="s">
        <v>539</v>
      </c>
      <c r="G270" s="359">
        <f>64208.73*1.18</f>
        <v>75766.301399999997</v>
      </c>
      <c r="H270" s="360">
        <v>42429</v>
      </c>
      <c r="I270" s="360">
        <v>42429</v>
      </c>
      <c r="J270" s="361">
        <v>75766.3</v>
      </c>
      <c r="K270" s="361">
        <v>75766.3</v>
      </c>
      <c r="L270" s="360"/>
      <c r="M270" s="361">
        <f>J270-D270</f>
        <v>-1.3999999937368557E-3</v>
      </c>
      <c r="N270" s="362"/>
      <c r="O270" s="363" t="s">
        <v>871</v>
      </c>
      <c r="P270" s="176"/>
      <c r="Q270" s="177"/>
      <c r="R270" s="132"/>
      <c r="S270" s="18"/>
      <c r="T270" s="18"/>
      <c r="U270" s="2"/>
      <c r="V270" s="2"/>
    </row>
    <row r="271" spans="1:22" s="8" customFormat="1" ht="17.25" outlineLevel="1" thickBot="1" x14ac:dyDescent="0.3">
      <c r="A271" s="1006" t="s">
        <v>628</v>
      </c>
      <c r="B271" s="1007"/>
      <c r="C271" s="454"/>
      <c r="D271" s="365">
        <f>SUM(D269:D270)</f>
        <v>8018833.6414000001</v>
      </c>
      <c r="E271" s="188"/>
      <c r="F271" s="188"/>
      <c r="G271" s="366">
        <f>SUM(G269:G270)</f>
        <v>8490648.5013999995</v>
      </c>
      <c r="H271" s="188"/>
      <c r="I271" s="190"/>
      <c r="J271" s="365">
        <f>SUM(J269:J270)</f>
        <v>8018833.6399999997</v>
      </c>
      <c r="K271" s="365">
        <f>SUM(K269:K270)</f>
        <v>8018833.6399999997</v>
      </c>
      <c r="L271" s="367"/>
      <c r="M271" s="365"/>
      <c r="N271" s="368">
        <f>AVERAGE(N269:N270)</f>
        <v>1</v>
      </c>
      <c r="O271" s="455"/>
      <c r="P271" s="176"/>
      <c r="Q271" s="177"/>
      <c r="R271" s="168"/>
      <c r="S271" s="19"/>
      <c r="T271" s="19"/>
      <c r="U271" s="2"/>
      <c r="V271" s="2"/>
    </row>
    <row r="272" spans="1:22" s="6" customFormat="1" ht="45" customHeight="1" x14ac:dyDescent="0.25">
      <c r="A272" s="464">
        <v>10</v>
      </c>
      <c r="B272" s="465" t="s">
        <v>1091</v>
      </c>
      <c r="C272" s="372" t="s">
        <v>37</v>
      </c>
      <c r="D272" s="372">
        <v>169590.83</v>
      </c>
      <c r="E272" s="432" t="s">
        <v>538</v>
      </c>
      <c r="F272" s="432" t="s">
        <v>539</v>
      </c>
      <c r="G272" s="463">
        <v>169601.57</v>
      </c>
      <c r="H272" s="220"/>
      <c r="I272" s="223">
        <v>42627</v>
      </c>
      <c r="J272" s="221">
        <v>169590.83</v>
      </c>
      <c r="K272" s="221">
        <v>169590.83</v>
      </c>
      <c r="L272" s="223"/>
      <c r="M272" s="221"/>
      <c r="N272" s="376">
        <v>0</v>
      </c>
      <c r="O272" s="453"/>
      <c r="P272" s="176"/>
      <c r="Q272" s="177" t="s">
        <v>1160</v>
      </c>
      <c r="R272" s="132"/>
      <c r="S272" s="18"/>
      <c r="T272" s="18"/>
      <c r="U272" s="9"/>
      <c r="V272" s="9"/>
    </row>
    <row r="273" spans="1:22" s="8" customFormat="1" ht="17.25" outlineLevel="1" thickBot="1" x14ac:dyDescent="0.3">
      <c r="A273" s="1010" t="s">
        <v>628</v>
      </c>
      <c r="B273" s="1011"/>
      <c r="C273" s="461"/>
      <c r="D273" s="378">
        <f>SUM(D272:D272)</f>
        <v>169590.83</v>
      </c>
      <c r="E273" s="215"/>
      <c r="F273" s="215"/>
      <c r="G273" s="379">
        <f>SUM(G272:G272)</f>
        <v>169601.57</v>
      </c>
      <c r="H273" s="215"/>
      <c r="I273" s="384"/>
      <c r="J273" s="378">
        <f>SUM(J272:J272)</f>
        <v>169590.83</v>
      </c>
      <c r="K273" s="378">
        <f>SUM(K272:K272)</f>
        <v>169590.83</v>
      </c>
      <c r="L273" s="380"/>
      <c r="M273" s="378"/>
      <c r="N273" s="395">
        <f>AVERAGE(N272)</f>
        <v>0</v>
      </c>
      <c r="O273" s="462"/>
      <c r="P273" s="176"/>
      <c r="Q273" s="177"/>
      <c r="R273" s="168"/>
      <c r="S273" s="19"/>
      <c r="T273" s="19"/>
      <c r="U273" s="2"/>
      <c r="V273" s="2"/>
    </row>
    <row r="274" spans="1:22" s="6" customFormat="1" ht="33" x14ac:dyDescent="0.25">
      <c r="A274" s="1012">
        <v>12</v>
      </c>
      <c r="B274" s="1004" t="s">
        <v>87</v>
      </c>
      <c r="C274" s="162" t="s">
        <v>500</v>
      </c>
      <c r="D274" s="162">
        <v>4788841.26</v>
      </c>
      <c r="E274" s="197" t="s">
        <v>1082</v>
      </c>
      <c r="F274" s="197" t="s">
        <v>768</v>
      </c>
      <c r="G274" s="353">
        <v>4788841.26</v>
      </c>
      <c r="H274" s="161">
        <v>42684</v>
      </c>
      <c r="I274" s="161">
        <v>42684</v>
      </c>
      <c r="J274" s="162">
        <v>3913623.87</v>
      </c>
      <c r="K274" s="162">
        <v>3913623.87</v>
      </c>
      <c r="L274" s="161"/>
      <c r="M274" s="162"/>
      <c r="N274" s="200">
        <v>1</v>
      </c>
      <c r="O274" s="453"/>
      <c r="P274" s="176"/>
      <c r="Q274" s="177"/>
      <c r="R274" s="132"/>
      <c r="S274" s="18"/>
      <c r="T274" s="18"/>
      <c r="U274" s="9"/>
      <c r="V274" s="9"/>
    </row>
    <row r="275" spans="1:22" s="8" customFormat="1" ht="49.5" outlineLevel="1" x14ac:dyDescent="0.25">
      <c r="A275" s="1013"/>
      <c r="B275" s="1005"/>
      <c r="C275" s="356" t="s">
        <v>37</v>
      </c>
      <c r="D275" s="357">
        <v>108236.5</v>
      </c>
      <c r="E275" s="358" t="s">
        <v>560</v>
      </c>
      <c r="F275" s="358" t="s">
        <v>539</v>
      </c>
      <c r="G275" s="359">
        <f>91725.84*1.18</f>
        <v>108236.49119999999</v>
      </c>
      <c r="H275" s="360">
        <v>42429</v>
      </c>
      <c r="I275" s="360">
        <v>42429</v>
      </c>
      <c r="J275" s="361">
        <v>108236.49</v>
      </c>
      <c r="K275" s="361">
        <v>108236.5</v>
      </c>
      <c r="L275" s="360"/>
      <c r="M275" s="361">
        <f>J275-D275</f>
        <v>-9.9999999947613105E-3</v>
      </c>
      <c r="N275" s="362"/>
      <c r="O275" s="363" t="s">
        <v>871</v>
      </c>
      <c r="P275" s="176"/>
      <c r="Q275" s="177"/>
      <c r="R275" s="168"/>
      <c r="S275" s="19"/>
      <c r="T275" s="19"/>
      <c r="U275" s="2"/>
      <c r="V275" s="2"/>
    </row>
    <row r="276" spans="1:22" s="8" customFormat="1" ht="17.25" outlineLevel="1" thickBot="1" x14ac:dyDescent="0.3">
      <c r="A276" s="1006" t="s">
        <v>628</v>
      </c>
      <c r="B276" s="1007"/>
      <c r="C276" s="454"/>
      <c r="D276" s="365">
        <f>SUM(D274:D275)</f>
        <v>4897077.76</v>
      </c>
      <c r="E276" s="239"/>
      <c r="F276" s="239"/>
      <c r="G276" s="366">
        <f>SUM(G274:G275)</f>
        <v>4897077.7511999998</v>
      </c>
      <c r="H276" s="239"/>
      <c r="I276" s="321"/>
      <c r="J276" s="365">
        <f>SUM(J274:J275)</f>
        <v>4021860.3600000003</v>
      </c>
      <c r="K276" s="365">
        <f>SUM(K274:K275)</f>
        <v>4021860.37</v>
      </c>
      <c r="L276" s="367"/>
      <c r="M276" s="365"/>
      <c r="N276" s="368">
        <f>AVERAGE(N274:N275)</f>
        <v>1</v>
      </c>
      <c r="O276" s="455"/>
      <c r="P276" s="176"/>
      <c r="Q276" s="177"/>
      <c r="R276" s="132"/>
      <c r="S276" s="18"/>
      <c r="T276" s="18"/>
      <c r="U276" s="2"/>
      <c r="V276" s="2"/>
    </row>
    <row r="277" spans="1:22" s="6" customFormat="1" ht="33" x14ac:dyDescent="0.25">
      <c r="A277" s="1012">
        <v>13</v>
      </c>
      <c r="B277" s="1004" t="s">
        <v>88</v>
      </c>
      <c r="C277" s="162" t="s">
        <v>500</v>
      </c>
      <c r="D277" s="162">
        <v>4788841.2699999996</v>
      </c>
      <c r="E277" s="197" t="s">
        <v>1082</v>
      </c>
      <c r="F277" s="197" t="s">
        <v>768</v>
      </c>
      <c r="G277" s="353">
        <v>4788841.2699999996</v>
      </c>
      <c r="H277" s="161">
        <v>42684</v>
      </c>
      <c r="I277" s="161">
        <v>42684</v>
      </c>
      <c r="J277" s="162">
        <v>3913623.87</v>
      </c>
      <c r="K277" s="162">
        <v>3913623.87</v>
      </c>
      <c r="L277" s="161"/>
      <c r="M277" s="162"/>
      <c r="N277" s="200">
        <v>1</v>
      </c>
      <c r="O277" s="453"/>
      <c r="P277" s="176"/>
      <c r="Q277" s="177"/>
      <c r="R277" s="132"/>
      <c r="S277" s="18"/>
      <c r="T277" s="18"/>
      <c r="U277" s="9"/>
      <c r="V277" s="9"/>
    </row>
    <row r="278" spans="1:22" s="8" customFormat="1" ht="49.5" outlineLevel="1" x14ac:dyDescent="0.25">
      <c r="A278" s="1013"/>
      <c r="B278" s="1005"/>
      <c r="C278" s="356" t="s">
        <v>37</v>
      </c>
      <c r="D278" s="357">
        <f>81309.02*1.18</f>
        <v>95944.643599999996</v>
      </c>
      <c r="E278" s="358" t="s">
        <v>560</v>
      </c>
      <c r="F278" s="358" t="s">
        <v>539</v>
      </c>
      <c r="G278" s="359">
        <f>81309.02*1.18</f>
        <v>95944.643599999996</v>
      </c>
      <c r="H278" s="360">
        <v>42429</v>
      </c>
      <c r="I278" s="360">
        <v>42429</v>
      </c>
      <c r="J278" s="361">
        <v>95944.639999999999</v>
      </c>
      <c r="K278" s="361">
        <v>95944.639999999999</v>
      </c>
      <c r="L278" s="360"/>
      <c r="M278" s="361">
        <f>J278-D278</f>
        <v>-3.599999996367842E-3</v>
      </c>
      <c r="N278" s="362"/>
      <c r="O278" s="363" t="s">
        <v>871</v>
      </c>
      <c r="P278" s="176"/>
      <c r="Q278" s="177"/>
      <c r="R278" s="132"/>
      <c r="S278" s="18"/>
      <c r="T278" s="18"/>
      <c r="U278" s="2"/>
      <c r="V278" s="2"/>
    </row>
    <row r="279" spans="1:22" s="8" customFormat="1" ht="17.25" outlineLevel="1" thickBot="1" x14ac:dyDescent="0.3">
      <c r="A279" s="1010" t="s">
        <v>628</v>
      </c>
      <c r="B279" s="1011"/>
      <c r="C279" s="461"/>
      <c r="D279" s="365">
        <f>SUM(D277:D278)</f>
        <v>4884785.9135999996</v>
      </c>
      <c r="E279" s="215"/>
      <c r="F279" s="215"/>
      <c r="G279" s="366">
        <f>SUM(G277:G278)</f>
        <v>4884785.9135999996</v>
      </c>
      <c r="H279" s="215"/>
      <c r="I279" s="384"/>
      <c r="J279" s="365">
        <f>SUM(J277:J278)</f>
        <v>4009568.5100000002</v>
      </c>
      <c r="K279" s="365">
        <f>SUM(K277:K278)</f>
        <v>4009568.5100000002</v>
      </c>
      <c r="L279" s="380"/>
      <c r="M279" s="378"/>
      <c r="N279" s="368">
        <f>AVERAGE(N277:N278)</f>
        <v>1</v>
      </c>
      <c r="O279" s="462"/>
      <c r="P279" s="176"/>
      <c r="Q279" s="177"/>
      <c r="R279" s="168"/>
      <c r="S279" s="19"/>
      <c r="T279" s="19"/>
      <c r="U279" s="2"/>
      <c r="V279" s="2"/>
    </row>
    <row r="280" spans="1:22" s="6" customFormat="1" ht="30.75" customHeight="1" x14ac:dyDescent="0.25">
      <c r="A280" s="1012">
        <v>14</v>
      </c>
      <c r="B280" s="1004" t="s">
        <v>94</v>
      </c>
      <c r="C280" s="162" t="s">
        <v>500</v>
      </c>
      <c r="D280" s="162">
        <v>3912015</v>
      </c>
      <c r="E280" s="197" t="s">
        <v>894</v>
      </c>
      <c r="F280" s="197" t="s">
        <v>796</v>
      </c>
      <c r="G280" s="353">
        <v>4077536.31</v>
      </c>
      <c r="H280" s="161">
        <v>42576</v>
      </c>
      <c r="I280" s="161">
        <v>42576</v>
      </c>
      <c r="J280" s="162">
        <v>3912015</v>
      </c>
      <c r="K280" s="162">
        <v>3912015</v>
      </c>
      <c r="L280" s="161"/>
      <c r="M280" s="162"/>
      <c r="N280" s="200">
        <v>1</v>
      </c>
      <c r="O280" s="453"/>
      <c r="P280" s="176"/>
      <c r="Q280" s="177"/>
      <c r="R280" s="132"/>
      <c r="S280" s="18"/>
      <c r="T280" s="18"/>
      <c r="U280" s="9"/>
      <c r="V280" s="9"/>
    </row>
    <row r="281" spans="1:22" s="8" customFormat="1" ht="49.5" outlineLevel="1" x14ac:dyDescent="0.25">
      <c r="A281" s="1013"/>
      <c r="B281" s="1005"/>
      <c r="C281" s="356" t="s">
        <v>37</v>
      </c>
      <c r="D281" s="357">
        <f>70423.98*1.18</f>
        <v>83100.296399999992</v>
      </c>
      <c r="E281" s="358" t="s">
        <v>560</v>
      </c>
      <c r="F281" s="358" t="s">
        <v>539</v>
      </c>
      <c r="G281" s="359">
        <f>70423.98*1.18</f>
        <v>83100.296399999992</v>
      </c>
      <c r="H281" s="360">
        <v>42429</v>
      </c>
      <c r="I281" s="360">
        <v>42429</v>
      </c>
      <c r="J281" s="361">
        <v>83100.3</v>
      </c>
      <c r="K281" s="361">
        <v>83100.3</v>
      </c>
      <c r="L281" s="360"/>
      <c r="M281" s="361">
        <f>J281-D281</f>
        <v>3.6000000109197572E-3</v>
      </c>
      <c r="N281" s="362"/>
      <c r="O281" s="363" t="s">
        <v>871</v>
      </c>
      <c r="P281" s="176"/>
      <c r="Q281" s="177"/>
      <c r="R281" s="132"/>
      <c r="S281" s="18"/>
      <c r="T281" s="18"/>
      <c r="U281" s="2"/>
      <c r="V281" s="2"/>
    </row>
    <row r="282" spans="1:22" s="8" customFormat="1" ht="17.25" outlineLevel="1" thickBot="1" x14ac:dyDescent="0.3">
      <c r="A282" s="1006" t="s">
        <v>628</v>
      </c>
      <c r="B282" s="1007"/>
      <c r="C282" s="454"/>
      <c r="D282" s="365">
        <f>SUM(D280:D281)</f>
        <v>3995115.2963999999</v>
      </c>
      <c r="E282" s="239"/>
      <c r="F282" s="239"/>
      <c r="G282" s="366">
        <f>SUM(G280:G281)</f>
        <v>4160636.6063999999</v>
      </c>
      <c r="H282" s="239"/>
      <c r="I282" s="321"/>
      <c r="J282" s="365">
        <f>SUM(J280:J281)</f>
        <v>3995115.3</v>
      </c>
      <c r="K282" s="365">
        <f>SUM(K280:K281)</f>
        <v>3995115.3</v>
      </c>
      <c r="L282" s="367"/>
      <c r="M282" s="365"/>
      <c r="N282" s="368">
        <f>AVERAGE(N280:N281)</f>
        <v>1</v>
      </c>
      <c r="O282" s="455"/>
      <c r="P282" s="176"/>
      <c r="Q282" s="177"/>
      <c r="R282" s="132"/>
      <c r="S282" s="18"/>
      <c r="T282" s="18"/>
      <c r="U282" s="2"/>
      <c r="V282" s="2"/>
    </row>
    <row r="283" spans="1:22" s="6" customFormat="1" ht="33" x14ac:dyDescent="0.25">
      <c r="A283" s="1012">
        <v>15</v>
      </c>
      <c r="B283" s="1004" t="s">
        <v>93</v>
      </c>
      <c r="C283" s="162" t="s">
        <v>500</v>
      </c>
      <c r="D283" s="162">
        <v>2341662</v>
      </c>
      <c r="E283" s="197" t="s">
        <v>894</v>
      </c>
      <c r="F283" s="197" t="s">
        <v>796</v>
      </c>
      <c r="G283" s="353">
        <v>2802463.69</v>
      </c>
      <c r="H283" s="161">
        <v>42576</v>
      </c>
      <c r="I283" s="161">
        <v>42576</v>
      </c>
      <c r="J283" s="162">
        <v>2341662</v>
      </c>
      <c r="K283" s="162">
        <v>2341662</v>
      </c>
      <c r="L283" s="161"/>
      <c r="M283" s="162"/>
      <c r="N283" s="200">
        <v>1</v>
      </c>
      <c r="O283" s="453"/>
      <c r="P283" s="176"/>
      <c r="Q283" s="177"/>
      <c r="R283" s="132"/>
      <c r="S283" s="18"/>
      <c r="T283" s="18"/>
      <c r="U283" s="9"/>
      <c r="V283" s="9"/>
    </row>
    <row r="284" spans="1:22" s="8" customFormat="1" ht="49.5" outlineLevel="1" x14ac:dyDescent="0.25">
      <c r="A284" s="1013"/>
      <c r="B284" s="1005"/>
      <c r="C284" s="356" t="s">
        <v>37</v>
      </c>
      <c r="D284" s="357">
        <f>73383.55*1.18</f>
        <v>86592.588999999993</v>
      </c>
      <c r="E284" s="358" t="s">
        <v>560</v>
      </c>
      <c r="F284" s="358" t="s">
        <v>539</v>
      </c>
      <c r="G284" s="359">
        <f>73383.55*1.18</f>
        <v>86592.588999999993</v>
      </c>
      <c r="H284" s="360">
        <v>42429</v>
      </c>
      <c r="I284" s="360">
        <v>42429</v>
      </c>
      <c r="J284" s="361">
        <v>86592.59</v>
      </c>
      <c r="K284" s="361">
        <v>86592.59</v>
      </c>
      <c r="L284" s="360"/>
      <c r="M284" s="361">
        <f>J284-D284</f>
        <v>1.0000000038417056E-3</v>
      </c>
      <c r="N284" s="362"/>
      <c r="O284" s="363" t="s">
        <v>871</v>
      </c>
      <c r="P284" s="176"/>
      <c r="Q284" s="177"/>
      <c r="R284" s="132"/>
      <c r="S284" s="18"/>
      <c r="T284" s="18"/>
      <c r="U284" s="2"/>
      <c r="V284" s="2"/>
    </row>
    <row r="285" spans="1:22" s="8" customFormat="1" ht="17.25" outlineLevel="1" thickBot="1" x14ac:dyDescent="0.3">
      <c r="A285" s="1006" t="s">
        <v>628</v>
      </c>
      <c r="B285" s="1007"/>
      <c r="C285" s="454"/>
      <c r="D285" s="365">
        <f>SUM(D283:D284)</f>
        <v>2428254.5890000002</v>
      </c>
      <c r="E285" s="239"/>
      <c r="F285" s="239"/>
      <c r="G285" s="366">
        <f>SUM(G283:G284)</f>
        <v>2889056.2790000001</v>
      </c>
      <c r="H285" s="239"/>
      <c r="I285" s="321"/>
      <c r="J285" s="365">
        <f>SUM(J283:J284)</f>
        <v>2428254.59</v>
      </c>
      <c r="K285" s="365">
        <f>SUM(K283:K284)</f>
        <v>2428254.59</v>
      </c>
      <c r="L285" s="367"/>
      <c r="M285" s="365"/>
      <c r="N285" s="368">
        <f>AVERAGE(N283:N284)</f>
        <v>1</v>
      </c>
      <c r="O285" s="455"/>
      <c r="P285" s="176"/>
      <c r="Q285" s="177"/>
      <c r="R285" s="132"/>
      <c r="S285" s="18"/>
      <c r="T285" s="18"/>
      <c r="U285" s="2"/>
      <c r="V285" s="2"/>
    </row>
    <row r="286" spans="1:22" s="6" customFormat="1" ht="33" x14ac:dyDescent="0.25">
      <c r="A286" s="1012">
        <v>16</v>
      </c>
      <c r="B286" s="1004" t="s">
        <v>504</v>
      </c>
      <c r="C286" s="372" t="s">
        <v>501</v>
      </c>
      <c r="D286" s="372">
        <v>4791185.8600000003</v>
      </c>
      <c r="E286" s="220" t="s">
        <v>1285</v>
      </c>
      <c r="F286" s="220" t="s">
        <v>876</v>
      </c>
      <c r="G286" s="463">
        <v>4791185.8600000003</v>
      </c>
      <c r="H286" s="223">
        <v>42703</v>
      </c>
      <c r="I286" s="224"/>
      <c r="J286" s="225"/>
      <c r="K286" s="225"/>
      <c r="L286" s="226"/>
      <c r="M286" s="225"/>
      <c r="N286" s="376">
        <v>0</v>
      </c>
      <c r="O286" s="453"/>
      <c r="P286" s="176">
        <v>2017</v>
      </c>
      <c r="Q286" s="177"/>
      <c r="R286" s="168"/>
      <c r="S286" s="19"/>
      <c r="T286" s="19"/>
      <c r="U286" s="9"/>
      <c r="V286" s="9"/>
    </row>
    <row r="287" spans="1:22" s="8" customFormat="1" ht="49.5" outlineLevel="1" x14ac:dyDescent="0.25">
      <c r="A287" s="1013"/>
      <c r="B287" s="1005"/>
      <c r="C287" s="356" t="s">
        <v>37</v>
      </c>
      <c r="D287" s="357">
        <f>61377.42*1.18</f>
        <v>72425.355599999995</v>
      </c>
      <c r="E287" s="358" t="s">
        <v>560</v>
      </c>
      <c r="F287" s="358" t="s">
        <v>539</v>
      </c>
      <c r="G287" s="359">
        <f>61377.42*1.18</f>
        <v>72425.355599999995</v>
      </c>
      <c r="H287" s="360">
        <v>42429</v>
      </c>
      <c r="I287" s="360">
        <v>42429</v>
      </c>
      <c r="J287" s="361">
        <v>72425.36</v>
      </c>
      <c r="K287" s="361">
        <v>72425.36</v>
      </c>
      <c r="L287" s="360"/>
      <c r="M287" s="361">
        <f>J287-D287</f>
        <v>4.4000000052619725E-3</v>
      </c>
      <c r="N287" s="362"/>
      <c r="O287" s="363" t="s">
        <v>871</v>
      </c>
      <c r="P287" s="176"/>
      <c r="Q287" s="177"/>
      <c r="R287" s="132"/>
      <c r="S287" s="18"/>
      <c r="T287" s="18"/>
      <c r="U287" s="2"/>
      <c r="V287" s="2"/>
    </row>
    <row r="288" spans="1:22" s="8" customFormat="1" ht="17.25" outlineLevel="1" thickBot="1" x14ac:dyDescent="0.3">
      <c r="A288" s="1006" t="s">
        <v>628</v>
      </c>
      <c r="B288" s="1007"/>
      <c r="C288" s="454"/>
      <c r="D288" s="365">
        <f>SUM(D286:D287)</f>
        <v>4863611.2156000007</v>
      </c>
      <c r="E288" s="239"/>
      <c r="F288" s="239"/>
      <c r="G288" s="366">
        <f>SUM(G286:G287)</f>
        <v>4863611.2156000007</v>
      </c>
      <c r="H288" s="239"/>
      <c r="I288" s="321"/>
      <c r="J288" s="365">
        <f>SUM(J286:J287)</f>
        <v>72425.36</v>
      </c>
      <c r="K288" s="365">
        <f>SUM(K286:K287)</f>
        <v>72425.36</v>
      </c>
      <c r="L288" s="367"/>
      <c r="M288" s="365"/>
      <c r="N288" s="368">
        <f>AVERAGE(N286:N287)</f>
        <v>0</v>
      </c>
      <c r="O288" s="455"/>
      <c r="P288" s="176"/>
      <c r="Q288" s="177"/>
      <c r="R288" s="132"/>
      <c r="S288" s="18"/>
      <c r="T288" s="18"/>
      <c r="U288" s="2"/>
      <c r="V288" s="2"/>
    </row>
    <row r="289" spans="1:22" s="6" customFormat="1" ht="33" x14ac:dyDescent="0.25">
      <c r="A289" s="1012">
        <v>17</v>
      </c>
      <c r="B289" s="1004" t="s">
        <v>82</v>
      </c>
      <c r="C289" s="372" t="s">
        <v>501</v>
      </c>
      <c r="D289" s="372">
        <v>10677257.140000001</v>
      </c>
      <c r="E289" s="220" t="s">
        <v>1285</v>
      </c>
      <c r="F289" s="220" t="s">
        <v>876</v>
      </c>
      <c r="G289" s="463">
        <v>10677257.140000001</v>
      </c>
      <c r="H289" s="223">
        <v>42703</v>
      </c>
      <c r="I289" s="375"/>
      <c r="J289" s="221"/>
      <c r="K289" s="221"/>
      <c r="L289" s="223"/>
      <c r="M289" s="221"/>
      <c r="N289" s="376">
        <v>0</v>
      </c>
      <c r="O289" s="453"/>
      <c r="P289" s="176">
        <v>2017</v>
      </c>
      <c r="Q289" s="177"/>
      <c r="R289" s="132"/>
      <c r="S289" s="18"/>
      <c r="T289" s="18"/>
      <c r="U289" s="9"/>
      <c r="V289" s="9"/>
    </row>
    <row r="290" spans="1:22" s="8" customFormat="1" ht="49.5" outlineLevel="1" x14ac:dyDescent="0.25">
      <c r="A290" s="1013"/>
      <c r="B290" s="1005"/>
      <c r="C290" s="356" t="s">
        <v>37</v>
      </c>
      <c r="D290" s="357">
        <v>82847.88</v>
      </c>
      <c r="E290" s="358" t="s">
        <v>538</v>
      </c>
      <c r="F290" s="358" t="s">
        <v>539</v>
      </c>
      <c r="G290" s="359">
        <v>82847.88</v>
      </c>
      <c r="H290" s="360">
        <v>42348</v>
      </c>
      <c r="I290" s="360">
        <v>42627</v>
      </c>
      <c r="J290" s="361">
        <v>82847.88</v>
      </c>
      <c r="K290" s="361">
        <v>82847.88</v>
      </c>
      <c r="L290" s="360"/>
      <c r="M290" s="361"/>
      <c r="N290" s="362"/>
      <c r="O290" s="363" t="s">
        <v>871</v>
      </c>
      <c r="P290" s="176"/>
      <c r="Q290" s="177"/>
      <c r="R290" s="132"/>
      <c r="S290" s="18"/>
      <c r="T290" s="18"/>
      <c r="U290" s="2"/>
      <c r="V290" s="2"/>
    </row>
    <row r="291" spans="1:22" s="8" customFormat="1" ht="17.25" outlineLevel="1" thickBot="1" x14ac:dyDescent="0.3">
      <c r="A291" s="1010" t="s">
        <v>628</v>
      </c>
      <c r="B291" s="1011"/>
      <c r="C291" s="461"/>
      <c r="D291" s="365">
        <f>SUM(D289:D290)</f>
        <v>10760105.020000001</v>
      </c>
      <c r="E291" s="247"/>
      <c r="F291" s="247"/>
      <c r="G291" s="366">
        <f>SUM(G289:G290)</f>
        <v>10760105.020000001</v>
      </c>
      <c r="H291" s="247"/>
      <c r="I291" s="277"/>
      <c r="J291" s="365">
        <f>SUM(J289:J290)</f>
        <v>82847.88</v>
      </c>
      <c r="K291" s="365">
        <f>SUM(K289:K290)</f>
        <v>82847.88</v>
      </c>
      <c r="L291" s="380"/>
      <c r="M291" s="378"/>
      <c r="N291" s="368">
        <f>AVERAGE(N289:N290)</f>
        <v>0</v>
      </c>
      <c r="O291" s="462"/>
      <c r="P291" s="176"/>
      <c r="Q291" s="177"/>
      <c r="R291" s="132"/>
      <c r="S291" s="18"/>
      <c r="T291" s="18"/>
      <c r="U291" s="2"/>
      <c r="V291" s="2"/>
    </row>
    <row r="292" spans="1:22" s="6" customFormat="1" ht="33" x14ac:dyDescent="0.25">
      <c r="A292" s="1012">
        <v>18</v>
      </c>
      <c r="B292" s="1004" t="s">
        <v>89</v>
      </c>
      <c r="C292" s="162" t="s">
        <v>500</v>
      </c>
      <c r="D292" s="162">
        <v>3484341.76</v>
      </c>
      <c r="E292" s="197" t="s">
        <v>926</v>
      </c>
      <c r="F292" s="197" t="s">
        <v>927</v>
      </c>
      <c r="G292" s="353">
        <v>3204419.8</v>
      </c>
      <c r="H292" s="161">
        <v>42582</v>
      </c>
      <c r="I292" s="161">
        <v>42582</v>
      </c>
      <c r="J292" s="162">
        <v>3484341.76</v>
      </c>
      <c r="K292" s="162">
        <v>3484341.76</v>
      </c>
      <c r="L292" s="198"/>
      <c r="M292" s="199"/>
      <c r="N292" s="200">
        <v>1</v>
      </c>
      <c r="O292" s="453"/>
      <c r="P292" s="176"/>
      <c r="Q292" s="177"/>
      <c r="R292" s="168"/>
      <c r="S292" s="19"/>
      <c r="T292" s="19"/>
      <c r="U292" s="9"/>
      <c r="V292" s="9"/>
    </row>
    <row r="293" spans="1:22" s="8" customFormat="1" ht="49.5" outlineLevel="1" x14ac:dyDescent="0.25">
      <c r="A293" s="1013"/>
      <c r="B293" s="1005"/>
      <c r="C293" s="356" t="s">
        <v>37</v>
      </c>
      <c r="D293" s="357">
        <f>67338.47*1.18</f>
        <v>79459.3946</v>
      </c>
      <c r="E293" s="358" t="s">
        <v>560</v>
      </c>
      <c r="F293" s="358" t="s">
        <v>539</v>
      </c>
      <c r="G293" s="359">
        <f>67338.47*1.18</f>
        <v>79459.3946</v>
      </c>
      <c r="H293" s="360">
        <v>42429</v>
      </c>
      <c r="I293" s="360">
        <v>42429</v>
      </c>
      <c r="J293" s="361">
        <v>79459.39</v>
      </c>
      <c r="K293" s="361">
        <v>79459.39</v>
      </c>
      <c r="L293" s="360"/>
      <c r="M293" s="361">
        <f>J293-D293</f>
        <v>-4.6000000002095476E-3</v>
      </c>
      <c r="N293" s="362"/>
      <c r="O293" s="466" t="s">
        <v>677</v>
      </c>
      <c r="P293" s="176"/>
      <c r="Q293" s="177"/>
      <c r="R293" s="132"/>
      <c r="S293" s="18"/>
      <c r="T293" s="18"/>
      <c r="U293" s="2"/>
      <c r="V293" s="2"/>
    </row>
    <row r="294" spans="1:22" s="8" customFormat="1" ht="17.25" outlineLevel="1" thickBot="1" x14ac:dyDescent="0.3">
      <c r="A294" s="1006" t="s">
        <v>628</v>
      </c>
      <c r="B294" s="1007"/>
      <c r="C294" s="454"/>
      <c r="D294" s="365">
        <f>SUM(D292:D293)</f>
        <v>3563801.1546</v>
      </c>
      <c r="E294" s="239"/>
      <c r="F294" s="239"/>
      <c r="G294" s="366">
        <f>SUM(G292:G293)</f>
        <v>3283879.1946</v>
      </c>
      <c r="H294" s="239"/>
      <c r="I294" s="321"/>
      <c r="J294" s="365">
        <f>SUM(J292:J293)</f>
        <v>3563801.15</v>
      </c>
      <c r="K294" s="365">
        <f>SUM(K292:K293)</f>
        <v>3563801.15</v>
      </c>
      <c r="L294" s="367"/>
      <c r="M294" s="365"/>
      <c r="N294" s="368">
        <f>AVERAGE(N292:N293)</f>
        <v>1</v>
      </c>
      <c r="O294" s="455"/>
      <c r="P294" s="176"/>
      <c r="Q294" s="177"/>
      <c r="R294" s="132"/>
      <c r="S294" s="18"/>
      <c r="T294" s="18"/>
      <c r="U294" s="2"/>
      <c r="V294" s="2"/>
    </row>
    <row r="295" spans="1:22" s="6" customFormat="1" ht="33" x14ac:dyDescent="0.25">
      <c r="A295" s="1012">
        <v>19</v>
      </c>
      <c r="B295" s="1004" t="s">
        <v>90</v>
      </c>
      <c r="C295" s="162" t="s">
        <v>500</v>
      </c>
      <c r="D295" s="162">
        <v>2869747.02</v>
      </c>
      <c r="E295" s="197" t="s">
        <v>938</v>
      </c>
      <c r="F295" s="197" t="s">
        <v>816</v>
      </c>
      <c r="G295" s="353">
        <v>2904922.4</v>
      </c>
      <c r="H295" s="161">
        <v>42613</v>
      </c>
      <c r="I295" s="161">
        <v>42630</v>
      </c>
      <c r="J295" s="162">
        <v>2869747.02</v>
      </c>
      <c r="K295" s="162">
        <v>2869747.02</v>
      </c>
      <c r="L295" s="161">
        <v>42702</v>
      </c>
      <c r="M295" s="199"/>
      <c r="N295" s="200">
        <v>1</v>
      </c>
      <c r="O295" s="453"/>
      <c r="P295" s="176"/>
      <c r="Q295" s="201" t="s">
        <v>1121</v>
      </c>
      <c r="R295" s="168"/>
      <c r="S295" s="19"/>
      <c r="T295" s="19"/>
      <c r="U295" s="9"/>
      <c r="V295" s="9"/>
    </row>
    <row r="296" spans="1:22" s="8" customFormat="1" ht="49.5" outlineLevel="1" x14ac:dyDescent="0.25">
      <c r="A296" s="1013"/>
      <c r="B296" s="1005"/>
      <c r="C296" s="356" t="s">
        <v>37</v>
      </c>
      <c r="D296" s="357">
        <f>66666.05*1.18</f>
        <v>78665.938999999998</v>
      </c>
      <c r="E296" s="358" t="s">
        <v>560</v>
      </c>
      <c r="F296" s="358" t="s">
        <v>539</v>
      </c>
      <c r="G296" s="359">
        <f>66666.05*1.18</f>
        <v>78665.938999999998</v>
      </c>
      <c r="H296" s="360">
        <v>42429</v>
      </c>
      <c r="I296" s="360">
        <v>42429</v>
      </c>
      <c r="J296" s="361">
        <v>78665.94</v>
      </c>
      <c r="K296" s="361">
        <v>78665.94</v>
      </c>
      <c r="L296" s="360"/>
      <c r="M296" s="361">
        <f>J296-D296</f>
        <v>1.0000000038417056E-3</v>
      </c>
      <c r="N296" s="362"/>
      <c r="O296" s="466" t="s">
        <v>678</v>
      </c>
      <c r="P296" s="176"/>
      <c r="Q296" s="177"/>
      <c r="R296" s="132"/>
      <c r="S296" s="18"/>
      <c r="T296" s="18"/>
      <c r="U296" s="2"/>
      <c r="V296" s="2"/>
    </row>
    <row r="297" spans="1:22" s="8" customFormat="1" ht="17.25" outlineLevel="1" thickBot="1" x14ac:dyDescent="0.3">
      <c r="A297" s="1006" t="s">
        <v>628</v>
      </c>
      <c r="B297" s="1007"/>
      <c r="C297" s="454"/>
      <c r="D297" s="365">
        <f>SUM(D295:D296)</f>
        <v>2948412.9589999998</v>
      </c>
      <c r="E297" s="239"/>
      <c r="F297" s="239"/>
      <c r="G297" s="366">
        <f>SUM(G295:G296)</f>
        <v>2983588.3389999997</v>
      </c>
      <c r="H297" s="239"/>
      <c r="I297" s="321"/>
      <c r="J297" s="365">
        <f>SUM(J295:J296)</f>
        <v>2948412.96</v>
      </c>
      <c r="K297" s="365">
        <f>SUM(K295:K296)</f>
        <v>2948412.96</v>
      </c>
      <c r="L297" s="367"/>
      <c r="M297" s="365"/>
      <c r="N297" s="368">
        <f>AVERAGE(N295:N296)</f>
        <v>1</v>
      </c>
      <c r="O297" s="455"/>
      <c r="P297" s="176"/>
      <c r="Q297" s="177"/>
      <c r="R297" s="132"/>
      <c r="S297" s="18"/>
      <c r="T297" s="18"/>
      <c r="U297" s="2"/>
      <c r="V297" s="2"/>
    </row>
    <row r="298" spans="1:22" s="6" customFormat="1" ht="33" x14ac:dyDescent="0.25">
      <c r="A298" s="1012">
        <v>20</v>
      </c>
      <c r="B298" s="1004" t="s">
        <v>91</v>
      </c>
      <c r="C298" s="162" t="s">
        <v>500</v>
      </c>
      <c r="D298" s="162">
        <v>3084980.2</v>
      </c>
      <c r="E298" s="197" t="s">
        <v>939</v>
      </c>
      <c r="F298" s="197" t="s">
        <v>816</v>
      </c>
      <c r="G298" s="353">
        <v>2895077.6</v>
      </c>
      <c r="H298" s="161">
        <v>42613</v>
      </c>
      <c r="I298" s="161">
        <v>42630</v>
      </c>
      <c r="J298" s="162">
        <v>3084980.2</v>
      </c>
      <c r="K298" s="162">
        <v>3084980.2</v>
      </c>
      <c r="L298" s="161">
        <v>42702</v>
      </c>
      <c r="M298" s="199"/>
      <c r="N298" s="200">
        <v>1</v>
      </c>
      <c r="O298" s="453"/>
      <c r="P298" s="176"/>
      <c r="Q298" s="201" t="s">
        <v>1121</v>
      </c>
      <c r="R298" s="168"/>
      <c r="S298" s="19"/>
      <c r="T298" s="19"/>
      <c r="U298" s="9"/>
      <c r="V298" s="9"/>
    </row>
    <row r="299" spans="1:22" s="8" customFormat="1" ht="49.5" outlineLevel="1" x14ac:dyDescent="0.25">
      <c r="A299" s="1013"/>
      <c r="B299" s="1005"/>
      <c r="C299" s="356" t="s">
        <v>37</v>
      </c>
      <c r="D299" s="357">
        <f>68892.43*1.18</f>
        <v>81293.067399999985</v>
      </c>
      <c r="E299" s="358" t="s">
        <v>560</v>
      </c>
      <c r="F299" s="358" t="s">
        <v>539</v>
      </c>
      <c r="G299" s="359">
        <f>68892.43*1.18</f>
        <v>81293.067399999985</v>
      </c>
      <c r="H299" s="360">
        <v>42429</v>
      </c>
      <c r="I299" s="360">
        <v>42429</v>
      </c>
      <c r="J299" s="361">
        <v>81293.070000000007</v>
      </c>
      <c r="K299" s="361">
        <v>81293.070000000007</v>
      </c>
      <c r="L299" s="360"/>
      <c r="M299" s="361">
        <f>J299-D299</f>
        <v>2.6000000216299668E-3</v>
      </c>
      <c r="N299" s="362"/>
      <c r="O299" s="466" t="s">
        <v>679</v>
      </c>
      <c r="P299" s="176"/>
      <c r="Q299" s="177"/>
      <c r="R299" s="132"/>
      <c r="S299" s="18"/>
      <c r="T299" s="18"/>
      <c r="U299" s="2"/>
      <c r="V299" s="2"/>
    </row>
    <row r="300" spans="1:22" s="8" customFormat="1" ht="17.25" outlineLevel="1" thickBot="1" x14ac:dyDescent="0.3">
      <c r="A300" s="1006" t="s">
        <v>628</v>
      </c>
      <c r="B300" s="1007"/>
      <c r="C300" s="454"/>
      <c r="D300" s="365">
        <f>SUM(D298:D299)</f>
        <v>3166273.2674000002</v>
      </c>
      <c r="E300" s="239"/>
      <c r="F300" s="239"/>
      <c r="G300" s="366">
        <f>SUM(G298:G299)</f>
        <v>2976370.6674000002</v>
      </c>
      <c r="H300" s="239"/>
      <c r="I300" s="321"/>
      <c r="J300" s="365">
        <f>SUM(J298:J299)</f>
        <v>3166273.27</v>
      </c>
      <c r="K300" s="365">
        <f>SUM(K298:K299)</f>
        <v>3166273.27</v>
      </c>
      <c r="L300" s="367"/>
      <c r="M300" s="365"/>
      <c r="N300" s="368">
        <f>AVERAGE(N298:N299)</f>
        <v>1</v>
      </c>
      <c r="O300" s="462"/>
      <c r="P300" s="176"/>
      <c r="Q300" s="177"/>
      <c r="R300" s="132"/>
      <c r="S300" s="18"/>
      <c r="T300" s="18"/>
      <c r="U300" s="2"/>
      <c r="V300" s="2"/>
    </row>
    <row r="301" spans="1:22" s="11" customFormat="1" ht="49.5" outlineLevel="1" x14ac:dyDescent="0.25">
      <c r="A301" s="467"/>
      <c r="B301" s="468" t="s">
        <v>92</v>
      </c>
      <c r="C301" s="469" t="s">
        <v>37</v>
      </c>
      <c r="D301" s="470">
        <f>61805.33*1.18</f>
        <v>72930.289399999994</v>
      </c>
      <c r="E301" s="469" t="s">
        <v>560</v>
      </c>
      <c r="F301" s="469" t="s">
        <v>539</v>
      </c>
      <c r="G301" s="471">
        <f>61805.33*1.18</f>
        <v>72930.289399999994</v>
      </c>
      <c r="H301" s="472">
        <v>42429</v>
      </c>
      <c r="I301" s="472">
        <v>42429</v>
      </c>
      <c r="J301" s="470">
        <v>72930.289999999994</v>
      </c>
      <c r="K301" s="470">
        <v>72930.289999999994</v>
      </c>
      <c r="L301" s="472"/>
      <c r="M301" s="470">
        <f>J301-D301</f>
        <v>5.9999999939464033E-4</v>
      </c>
      <c r="N301" s="473"/>
      <c r="O301" s="282" t="s">
        <v>679</v>
      </c>
      <c r="P301" s="176"/>
      <c r="Q301" s="177"/>
      <c r="R301" s="132"/>
      <c r="S301" s="18"/>
      <c r="T301" s="18"/>
      <c r="U301" s="2"/>
      <c r="V301" s="2"/>
    </row>
    <row r="302" spans="1:22" s="11" customFormat="1" ht="17.25" outlineLevel="1" thickBot="1" x14ac:dyDescent="0.3">
      <c r="A302" s="1016" t="s">
        <v>628</v>
      </c>
      <c r="B302" s="1017"/>
      <c r="C302" s="238"/>
      <c r="D302" s="187">
        <f>SUM(D301:D301)</f>
        <v>72930.289399999994</v>
      </c>
      <c r="E302" s="284"/>
      <c r="F302" s="284"/>
      <c r="G302" s="189">
        <f>SUM(G301:G301)</f>
        <v>72930.289399999994</v>
      </c>
      <c r="H302" s="284"/>
      <c r="I302" s="474"/>
      <c r="J302" s="187">
        <f>SUM(J301:J301)</f>
        <v>72930.289999999994</v>
      </c>
      <c r="K302" s="187">
        <f>SUM(K301:K301)</f>
        <v>72930.289999999994</v>
      </c>
      <c r="L302" s="204"/>
      <c r="M302" s="187"/>
      <c r="N302" s="475"/>
      <c r="O302" s="476"/>
      <c r="P302" s="176"/>
      <c r="Q302" s="177"/>
      <c r="R302" s="132"/>
      <c r="S302" s="18"/>
      <c r="T302" s="18"/>
      <c r="U302" s="2"/>
      <c r="V302" s="2"/>
    </row>
    <row r="303" spans="1:22" s="6" customFormat="1" ht="33" x14ac:dyDescent="0.25">
      <c r="A303" s="1012">
        <v>22</v>
      </c>
      <c r="B303" s="1004" t="s">
        <v>83</v>
      </c>
      <c r="C303" s="162" t="s">
        <v>38</v>
      </c>
      <c r="D303" s="162">
        <v>1823304.14</v>
      </c>
      <c r="E303" s="197" t="s">
        <v>1061</v>
      </c>
      <c r="F303" s="197" t="s">
        <v>876</v>
      </c>
      <c r="G303" s="353">
        <v>1733737.42</v>
      </c>
      <c r="H303" s="161">
        <v>42613</v>
      </c>
      <c r="I303" s="477" t="s">
        <v>1075</v>
      </c>
      <c r="J303" s="162">
        <v>1823304.14</v>
      </c>
      <c r="K303" s="162">
        <v>1823304.14</v>
      </c>
      <c r="L303" s="161"/>
      <c r="M303" s="162"/>
      <c r="N303" s="200">
        <v>1</v>
      </c>
      <c r="O303" s="453"/>
      <c r="P303" s="176"/>
      <c r="Q303" s="177"/>
      <c r="R303" s="132"/>
      <c r="S303" s="18"/>
      <c r="T303" s="18"/>
      <c r="U303" s="9"/>
      <c r="V303" s="9"/>
    </row>
    <row r="304" spans="1:22" s="8" customFormat="1" ht="33" outlineLevel="1" x14ac:dyDescent="0.25">
      <c r="A304" s="1013"/>
      <c r="B304" s="1005"/>
      <c r="C304" s="163" t="s">
        <v>34</v>
      </c>
      <c r="D304" s="163">
        <v>4630225.5999999996</v>
      </c>
      <c r="E304" s="253" t="s">
        <v>1061</v>
      </c>
      <c r="F304" s="478" t="s">
        <v>876</v>
      </c>
      <c r="G304" s="354">
        <v>6677821.7800000003</v>
      </c>
      <c r="H304" s="210">
        <v>42613</v>
      </c>
      <c r="I304" s="210">
        <v>42614</v>
      </c>
      <c r="J304" s="163">
        <v>4630225.5999999996</v>
      </c>
      <c r="K304" s="163">
        <v>4630225.5999999996</v>
      </c>
      <c r="L304" s="210"/>
      <c r="M304" s="163"/>
      <c r="N304" s="213">
        <v>1</v>
      </c>
      <c r="O304" s="300"/>
      <c r="P304" s="176"/>
      <c r="Q304" s="177"/>
      <c r="R304" s="132"/>
      <c r="S304" s="18"/>
      <c r="T304" s="18"/>
      <c r="U304" s="2"/>
      <c r="V304" s="2"/>
    </row>
    <row r="305" spans="1:22" s="8" customFormat="1" ht="33" outlineLevel="1" x14ac:dyDescent="0.25">
      <c r="A305" s="1013"/>
      <c r="B305" s="1005"/>
      <c r="C305" s="163" t="s">
        <v>35</v>
      </c>
      <c r="D305" s="163">
        <v>1022892.44</v>
      </c>
      <c r="E305" s="479" t="s">
        <v>1061</v>
      </c>
      <c r="F305" s="478" t="s">
        <v>876</v>
      </c>
      <c r="G305" s="354">
        <v>1023078.88</v>
      </c>
      <c r="H305" s="210">
        <v>42613</v>
      </c>
      <c r="I305" s="210">
        <v>42614</v>
      </c>
      <c r="J305" s="163">
        <v>1022892.44</v>
      </c>
      <c r="K305" s="163">
        <v>1022892.44</v>
      </c>
      <c r="L305" s="210"/>
      <c r="M305" s="163"/>
      <c r="N305" s="213">
        <v>1</v>
      </c>
      <c r="O305" s="300"/>
      <c r="P305" s="176"/>
      <c r="Q305" s="177"/>
      <c r="R305" s="132"/>
      <c r="S305" s="18"/>
      <c r="T305" s="18"/>
      <c r="U305" s="2"/>
      <c r="V305" s="2"/>
    </row>
    <row r="306" spans="1:22" s="8" customFormat="1" ht="33" outlineLevel="1" x14ac:dyDescent="0.25">
      <c r="A306" s="1013"/>
      <c r="B306" s="1005"/>
      <c r="C306" s="163" t="s">
        <v>36</v>
      </c>
      <c r="D306" s="163">
        <v>718837.12</v>
      </c>
      <c r="E306" s="253" t="s">
        <v>1061</v>
      </c>
      <c r="F306" s="253" t="s">
        <v>876</v>
      </c>
      <c r="G306" s="354">
        <v>680955.58</v>
      </c>
      <c r="H306" s="210">
        <v>42613</v>
      </c>
      <c r="I306" s="210">
        <v>42614</v>
      </c>
      <c r="J306" s="163">
        <v>718837.12</v>
      </c>
      <c r="K306" s="163">
        <v>718837.12</v>
      </c>
      <c r="L306" s="210"/>
      <c r="M306" s="163"/>
      <c r="N306" s="213">
        <v>1</v>
      </c>
      <c r="O306" s="300"/>
      <c r="P306" s="176"/>
      <c r="Q306" s="177"/>
      <c r="R306" s="168"/>
      <c r="S306" s="19"/>
      <c r="T306" s="19"/>
      <c r="U306" s="2"/>
      <c r="V306" s="2"/>
    </row>
    <row r="307" spans="1:22" s="8" customFormat="1" ht="49.5" outlineLevel="1" x14ac:dyDescent="0.25">
      <c r="A307" s="1013"/>
      <c r="B307" s="1005"/>
      <c r="C307" s="356" t="s">
        <v>37</v>
      </c>
      <c r="D307" s="357">
        <v>383270.82</v>
      </c>
      <c r="E307" s="358" t="s">
        <v>538</v>
      </c>
      <c r="F307" s="358" t="s">
        <v>539</v>
      </c>
      <c r="G307" s="359">
        <v>383270.80084257666</v>
      </c>
      <c r="H307" s="360">
        <v>42348</v>
      </c>
      <c r="I307" s="360">
        <v>42627</v>
      </c>
      <c r="J307" s="361">
        <v>383270.82</v>
      </c>
      <c r="K307" s="361">
        <v>383270.82</v>
      </c>
      <c r="L307" s="360"/>
      <c r="M307" s="361"/>
      <c r="N307" s="362"/>
      <c r="O307" s="363" t="s">
        <v>871</v>
      </c>
      <c r="P307" s="176"/>
      <c r="Q307" s="177"/>
      <c r="R307" s="132"/>
      <c r="S307" s="18"/>
      <c r="T307" s="18"/>
      <c r="U307" s="2"/>
      <c r="V307" s="2"/>
    </row>
    <row r="308" spans="1:22" s="8" customFormat="1" ht="17.25" outlineLevel="1" thickBot="1" x14ac:dyDescent="0.3">
      <c r="A308" s="1010" t="s">
        <v>628</v>
      </c>
      <c r="B308" s="1011"/>
      <c r="C308" s="461"/>
      <c r="D308" s="378">
        <f>SUM(D303:D307)</f>
        <v>8578530.1199999992</v>
      </c>
      <c r="E308" s="247"/>
      <c r="F308" s="247"/>
      <c r="G308" s="379">
        <f>SUM(G303:G307)</f>
        <v>10498864.460842576</v>
      </c>
      <c r="H308" s="247"/>
      <c r="I308" s="277"/>
      <c r="J308" s="378">
        <f>SUM(J303:J307)</f>
        <v>8578530.1199999992</v>
      </c>
      <c r="K308" s="378">
        <f>SUM(K303:K307)</f>
        <v>8578530.1199999992</v>
      </c>
      <c r="L308" s="380"/>
      <c r="M308" s="378"/>
      <c r="N308" s="395">
        <f>AVERAGE(N303:N307)</f>
        <v>1</v>
      </c>
      <c r="O308" s="462"/>
      <c r="P308" s="176"/>
      <c r="Q308" s="177"/>
      <c r="R308" s="132"/>
      <c r="S308" s="18"/>
      <c r="T308" s="18"/>
      <c r="U308" s="2"/>
      <c r="V308" s="2"/>
    </row>
    <row r="309" spans="1:22" s="6" customFormat="1" ht="33" x14ac:dyDescent="0.25">
      <c r="A309" s="1012">
        <v>23</v>
      </c>
      <c r="B309" s="1004" t="s">
        <v>84</v>
      </c>
      <c r="C309" s="162" t="s">
        <v>38</v>
      </c>
      <c r="D309" s="162">
        <v>4330317.9800000004</v>
      </c>
      <c r="E309" s="197" t="s">
        <v>1004</v>
      </c>
      <c r="F309" s="197" t="s">
        <v>876</v>
      </c>
      <c r="G309" s="353">
        <v>3940854.26</v>
      </c>
      <c r="H309" s="161">
        <v>42625</v>
      </c>
      <c r="I309" s="161">
        <v>42625</v>
      </c>
      <c r="J309" s="162">
        <v>4330317.9800000004</v>
      </c>
      <c r="K309" s="162">
        <v>4330317.9800000004</v>
      </c>
      <c r="L309" s="161"/>
      <c r="M309" s="162"/>
      <c r="N309" s="200">
        <v>1</v>
      </c>
      <c r="O309" s="453"/>
      <c r="P309" s="176"/>
      <c r="Q309" s="177"/>
      <c r="R309" s="132"/>
      <c r="S309" s="18"/>
      <c r="T309" s="18"/>
      <c r="U309" s="9"/>
      <c r="V309" s="9"/>
    </row>
    <row r="310" spans="1:22" s="6" customFormat="1" ht="49.5" x14ac:dyDescent="0.25">
      <c r="A310" s="1013"/>
      <c r="B310" s="1005"/>
      <c r="C310" s="163" t="s">
        <v>505</v>
      </c>
      <c r="D310" s="163">
        <v>1285764</v>
      </c>
      <c r="E310" s="253" t="s">
        <v>1090</v>
      </c>
      <c r="F310" s="253" t="s">
        <v>862</v>
      </c>
      <c r="G310" s="354">
        <v>1285764</v>
      </c>
      <c r="H310" s="210">
        <v>42684</v>
      </c>
      <c r="I310" s="210">
        <v>42751</v>
      </c>
      <c r="J310" s="163">
        <v>1103890.71</v>
      </c>
      <c r="K310" s="163"/>
      <c r="L310" s="210"/>
      <c r="M310" s="163"/>
      <c r="N310" s="460">
        <v>0</v>
      </c>
      <c r="O310" s="300"/>
      <c r="P310" s="176">
        <v>2017</v>
      </c>
      <c r="Q310" s="177" t="s">
        <v>1125</v>
      </c>
      <c r="R310" s="132"/>
      <c r="S310" s="18"/>
      <c r="T310" s="18"/>
      <c r="U310" s="9"/>
      <c r="V310" s="9"/>
    </row>
    <row r="311" spans="1:22" s="8" customFormat="1" ht="33" outlineLevel="1" x14ac:dyDescent="0.25">
      <c r="A311" s="1013"/>
      <c r="B311" s="1005"/>
      <c r="C311" s="163" t="s">
        <v>34</v>
      </c>
      <c r="D311" s="163">
        <v>14172891.5</v>
      </c>
      <c r="E311" s="253" t="s">
        <v>1004</v>
      </c>
      <c r="F311" s="253" t="s">
        <v>876</v>
      </c>
      <c r="G311" s="354">
        <v>12885823.02</v>
      </c>
      <c r="H311" s="210">
        <v>42624</v>
      </c>
      <c r="I311" s="210">
        <v>42625</v>
      </c>
      <c r="J311" s="163">
        <v>14172891.5</v>
      </c>
      <c r="K311" s="163">
        <v>14172891.5</v>
      </c>
      <c r="L311" s="210"/>
      <c r="M311" s="163"/>
      <c r="N311" s="213">
        <v>1</v>
      </c>
      <c r="O311" s="300"/>
      <c r="P311" s="176"/>
      <c r="Q311" s="177"/>
      <c r="R311" s="132"/>
      <c r="S311" s="18"/>
      <c r="T311" s="18"/>
      <c r="U311" s="2"/>
      <c r="V311" s="2"/>
    </row>
    <row r="312" spans="1:22" s="8" customFormat="1" ht="33" outlineLevel="1" x14ac:dyDescent="0.25">
      <c r="A312" s="1013"/>
      <c r="B312" s="1005"/>
      <c r="C312" s="163" t="s">
        <v>35</v>
      </c>
      <c r="D312" s="163">
        <v>2093465.14</v>
      </c>
      <c r="E312" s="253" t="s">
        <v>1004</v>
      </c>
      <c r="F312" s="253" t="s">
        <v>876</v>
      </c>
      <c r="G312" s="354">
        <v>2225253</v>
      </c>
      <c r="H312" s="210">
        <v>42625</v>
      </c>
      <c r="I312" s="210">
        <v>42625</v>
      </c>
      <c r="J312" s="163">
        <v>2093465.14</v>
      </c>
      <c r="K312" s="163">
        <v>2093465.14</v>
      </c>
      <c r="L312" s="210"/>
      <c r="M312" s="163"/>
      <c r="N312" s="213">
        <v>1</v>
      </c>
      <c r="O312" s="300"/>
      <c r="P312" s="176"/>
      <c r="Q312" s="177"/>
      <c r="R312" s="132"/>
      <c r="S312" s="18"/>
      <c r="T312" s="18"/>
      <c r="U312" s="2"/>
      <c r="V312" s="2"/>
    </row>
    <row r="313" spans="1:22" s="8" customFormat="1" ht="33" outlineLevel="1" x14ac:dyDescent="0.25">
      <c r="A313" s="1013"/>
      <c r="B313" s="1005"/>
      <c r="C313" s="163" t="s">
        <v>36</v>
      </c>
      <c r="D313" s="163">
        <v>2073271.8</v>
      </c>
      <c r="E313" s="273" t="s">
        <v>1004</v>
      </c>
      <c r="F313" s="273" t="s">
        <v>876</v>
      </c>
      <c r="G313" s="354">
        <v>1891400</v>
      </c>
      <c r="H313" s="210">
        <v>42625</v>
      </c>
      <c r="I313" s="210">
        <v>42625</v>
      </c>
      <c r="J313" s="163">
        <v>2073271.8</v>
      </c>
      <c r="K313" s="163">
        <v>2073271.8</v>
      </c>
      <c r="L313" s="210"/>
      <c r="M313" s="163"/>
      <c r="N313" s="213">
        <v>1</v>
      </c>
      <c r="O313" s="300"/>
      <c r="P313" s="176"/>
      <c r="Q313" s="177"/>
      <c r="R313" s="168"/>
      <c r="S313" s="19"/>
      <c r="T313" s="19"/>
      <c r="U313" s="2"/>
      <c r="V313" s="2"/>
    </row>
    <row r="314" spans="1:22" s="8" customFormat="1" ht="49.5" outlineLevel="1" x14ac:dyDescent="0.25">
      <c r="A314" s="1013"/>
      <c r="B314" s="1005"/>
      <c r="C314" s="356" t="s">
        <v>37</v>
      </c>
      <c r="D314" s="357">
        <v>319721.3</v>
      </c>
      <c r="E314" s="358" t="s">
        <v>538</v>
      </c>
      <c r="F314" s="358" t="s">
        <v>539</v>
      </c>
      <c r="G314" s="359">
        <v>402005.11399999994</v>
      </c>
      <c r="H314" s="360">
        <v>42348</v>
      </c>
      <c r="I314" s="360">
        <v>42627</v>
      </c>
      <c r="J314" s="361">
        <v>319721.3</v>
      </c>
      <c r="K314" s="361">
        <v>319721.3</v>
      </c>
      <c r="L314" s="360"/>
      <c r="M314" s="361"/>
      <c r="N314" s="362"/>
      <c r="O314" s="363" t="s">
        <v>871</v>
      </c>
      <c r="P314" s="176"/>
      <c r="Q314" s="177"/>
      <c r="R314" s="132"/>
      <c r="S314" s="18"/>
      <c r="T314" s="18"/>
      <c r="U314" s="2"/>
      <c r="V314" s="2"/>
    </row>
    <row r="315" spans="1:22" s="8" customFormat="1" ht="17.25" outlineLevel="1" thickBot="1" x14ac:dyDescent="0.3">
      <c r="A315" s="1010" t="s">
        <v>628</v>
      </c>
      <c r="B315" s="1011"/>
      <c r="C315" s="461"/>
      <c r="D315" s="378">
        <f>SUM(D309:D314)</f>
        <v>24275431.720000003</v>
      </c>
      <c r="E315" s="215"/>
      <c r="F315" s="215"/>
      <c r="G315" s="379">
        <f>SUM(G309:G314)</f>
        <v>22631099.394000001</v>
      </c>
      <c r="H315" s="215"/>
      <c r="I315" s="384"/>
      <c r="J315" s="378">
        <f>SUM(J309:J314)</f>
        <v>24093558.430000003</v>
      </c>
      <c r="K315" s="378">
        <f>SUM(K309:K314)</f>
        <v>22989667.720000003</v>
      </c>
      <c r="L315" s="380"/>
      <c r="M315" s="378"/>
      <c r="N315" s="395">
        <f>AVERAGE(N309:N314)</f>
        <v>0.8</v>
      </c>
      <c r="O315" s="462"/>
      <c r="P315" s="176"/>
      <c r="Q315" s="177"/>
      <c r="R315" s="168"/>
      <c r="S315" s="19"/>
      <c r="T315" s="19"/>
      <c r="U315" s="2"/>
      <c r="V315" s="2"/>
    </row>
    <row r="316" spans="1:22" s="8" customFormat="1" ht="19.5" customHeight="1" outlineLevel="1" x14ac:dyDescent="0.25">
      <c r="A316" s="405"/>
      <c r="B316" s="1163" t="s">
        <v>1097</v>
      </c>
      <c r="C316" s="1163"/>
      <c r="D316" s="406">
        <v>3056656.8</v>
      </c>
      <c r="E316" s="407"/>
      <c r="F316" s="221"/>
      <c r="G316" s="406">
        <f>SUM(G317:G324)</f>
        <v>1364580.99</v>
      </c>
      <c r="H316" s="223"/>
      <c r="I316" s="375"/>
      <c r="J316" s="406"/>
      <c r="K316" s="406"/>
      <c r="L316" s="408"/>
      <c r="M316" s="406"/>
      <c r="N316" s="409"/>
      <c r="O316" s="410"/>
      <c r="P316" s="411"/>
      <c r="Q316" s="412"/>
      <c r="R316" s="335"/>
      <c r="S316" s="2"/>
      <c r="T316" s="2"/>
      <c r="U316" s="2"/>
      <c r="V316" s="2"/>
    </row>
    <row r="317" spans="1:22" s="25" customFormat="1" ht="33.75" customHeight="1" outlineLevel="1" x14ac:dyDescent="0.25">
      <c r="A317" s="413"/>
      <c r="B317" s="336" t="s">
        <v>84</v>
      </c>
      <c r="C317" s="337" t="s">
        <v>37</v>
      </c>
      <c r="D317" s="338"/>
      <c r="E317" s="999" t="s">
        <v>1442</v>
      </c>
      <c r="F317" s="1000" t="s">
        <v>1335</v>
      </c>
      <c r="G317" s="339">
        <v>120393.29</v>
      </c>
      <c r="H317" s="1133">
        <v>42760</v>
      </c>
      <c r="I317" s="172"/>
      <c r="J317" s="338"/>
      <c r="K317" s="338"/>
      <c r="L317" s="340"/>
      <c r="M317" s="338"/>
      <c r="N317" s="341"/>
      <c r="O317" s="416"/>
      <c r="P317" s="417"/>
      <c r="Q317" s="335"/>
      <c r="R317" s="335"/>
      <c r="S317" s="2"/>
      <c r="T317" s="2"/>
      <c r="U317" s="2"/>
      <c r="V317" s="2"/>
    </row>
    <row r="318" spans="1:22" s="25" customFormat="1" ht="25.5" customHeight="1" outlineLevel="1" x14ac:dyDescent="0.25">
      <c r="A318" s="413"/>
      <c r="B318" s="336" t="s">
        <v>1435</v>
      </c>
      <c r="C318" s="337" t="s">
        <v>37</v>
      </c>
      <c r="D318" s="338"/>
      <c r="E318" s="999"/>
      <c r="F318" s="1000"/>
      <c r="G318" s="339">
        <v>298934.09000000003</v>
      </c>
      <c r="H318" s="1133"/>
      <c r="I318" s="172"/>
      <c r="J318" s="338"/>
      <c r="K318" s="338"/>
      <c r="L318" s="340"/>
      <c r="M318" s="338"/>
      <c r="N318" s="341"/>
      <c r="O318" s="416"/>
      <c r="P318" s="417"/>
      <c r="Q318" s="335"/>
      <c r="R318" s="335"/>
      <c r="S318" s="2"/>
      <c r="T318" s="2"/>
      <c r="U318" s="2"/>
      <c r="V318" s="2"/>
    </row>
    <row r="319" spans="1:22" s="25" customFormat="1" ht="33" outlineLevel="1" x14ac:dyDescent="0.25">
      <c r="A319" s="413"/>
      <c r="B319" s="336" t="s">
        <v>1436</v>
      </c>
      <c r="C319" s="337" t="s">
        <v>37</v>
      </c>
      <c r="D319" s="338"/>
      <c r="E319" s="999"/>
      <c r="F319" s="1000"/>
      <c r="G319" s="339">
        <v>132799.14000000001</v>
      </c>
      <c r="H319" s="1133"/>
      <c r="I319" s="172"/>
      <c r="J319" s="338"/>
      <c r="K319" s="338"/>
      <c r="L319" s="340"/>
      <c r="M319" s="338"/>
      <c r="N319" s="341"/>
      <c r="O319" s="416"/>
      <c r="P319" s="417"/>
      <c r="Q319" s="335"/>
      <c r="R319" s="335"/>
      <c r="S319" s="2"/>
      <c r="T319" s="2"/>
      <c r="U319" s="2"/>
      <c r="V319" s="2"/>
    </row>
    <row r="320" spans="1:22" s="25" customFormat="1" ht="33" outlineLevel="1" x14ac:dyDescent="0.25">
      <c r="A320" s="413"/>
      <c r="B320" s="336" t="s">
        <v>1437</v>
      </c>
      <c r="C320" s="337" t="s">
        <v>37</v>
      </c>
      <c r="D320" s="338"/>
      <c r="E320" s="999"/>
      <c r="F320" s="1000"/>
      <c r="G320" s="339">
        <v>121281.53</v>
      </c>
      <c r="H320" s="1133"/>
      <c r="I320" s="172"/>
      <c r="J320" s="338"/>
      <c r="K320" s="338"/>
      <c r="L320" s="340"/>
      <c r="M320" s="338"/>
      <c r="N320" s="341"/>
      <c r="O320" s="416"/>
      <c r="P320" s="417"/>
      <c r="Q320" s="335"/>
      <c r="R320" s="335"/>
      <c r="S320" s="2"/>
      <c r="T320" s="2"/>
      <c r="U320" s="2"/>
      <c r="V320" s="2"/>
    </row>
    <row r="321" spans="1:22" s="25" customFormat="1" ht="33" outlineLevel="1" x14ac:dyDescent="0.25">
      <c r="A321" s="413"/>
      <c r="B321" s="336" t="s">
        <v>1438</v>
      </c>
      <c r="C321" s="337" t="s">
        <v>37</v>
      </c>
      <c r="D321" s="338"/>
      <c r="E321" s="999"/>
      <c r="F321" s="1000"/>
      <c r="G321" s="339">
        <v>84947.21</v>
      </c>
      <c r="H321" s="1133"/>
      <c r="I321" s="172"/>
      <c r="J321" s="338"/>
      <c r="K321" s="338"/>
      <c r="L321" s="340"/>
      <c r="M321" s="338"/>
      <c r="N321" s="341"/>
      <c r="O321" s="416"/>
      <c r="P321" s="417"/>
      <c r="Q321" s="335"/>
      <c r="R321" s="335"/>
      <c r="S321" s="2"/>
      <c r="T321" s="2"/>
      <c r="U321" s="2"/>
      <c r="V321" s="2"/>
    </row>
    <row r="322" spans="1:22" s="25" customFormat="1" ht="33" outlineLevel="1" x14ac:dyDescent="0.25">
      <c r="A322" s="413"/>
      <c r="B322" s="336" t="s">
        <v>1439</v>
      </c>
      <c r="C322" s="337" t="s">
        <v>37</v>
      </c>
      <c r="D322" s="338"/>
      <c r="E322" s="999"/>
      <c r="F322" s="1000"/>
      <c r="G322" s="339">
        <v>441661.94</v>
      </c>
      <c r="H322" s="1133"/>
      <c r="I322" s="172"/>
      <c r="J322" s="338"/>
      <c r="K322" s="338"/>
      <c r="L322" s="340"/>
      <c r="M322" s="338"/>
      <c r="N322" s="341"/>
      <c r="O322" s="416"/>
      <c r="P322" s="417"/>
      <c r="Q322" s="335"/>
      <c r="R322" s="335"/>
      <c r="S322" s="2"/>
      <c r="T322" s="2"/>
      <c r="U322" s="2"/>
      <c r="V322" s="2"/>
    </row>
    <row r="323" spans="1:22" s="25" customFormat="1" ht="33" outlineLevel="1" x14ac:dyDescent="0.25">
      <c r="A323" s="413"/>
      <c r="B323" s="336" t="s">
        <v>1440</v>
      </c>
      <c r="C323" s="337" t="s">
        <v>37</v>
      </c>
      <c r="D323" s="338"/>
      <c r="E323" s="999"/>
      <c r="F323" s="1000"/>
      <c r="G323" s="339">
        <v>70822.11</v>
      </c>
      <c r="H323" s="1133"/>
      <c r="I323" s="172"/>
      <c r="J323" s="338"/>
      <c r="K323" s="338"/>
      <c r="L323" s="340"/>
      <c r="M323" s="338"/>
      <c r="N323" s="341"/>
      <c r="O323" s="416"/>
      <c r="P323" s="417"/>
      <c r="Q323" s="335"/>
      <c r="R323" s="335"/>
      <c r="S323" s="2"/>
      <c r="T323" s="2"/>
      <c r="U323" s="2"/>
      <c r="V323" s="2"/>
    </row>
    <row r="324" spans="1:22" s="25" customFormat="1" ht="33.75" outlineLevel="1" thickBot="1" x14ac:dyDescent="0.3">
      <c r="A324" s="418"/>
      <c r="B324" s="419" t="s">
        <v>1441</v>
      </c>
      <c r="C324" s="364" t="s">
        <v>37</v>
      </c>
      <c r="D324" s="480"/>
      <c r="E324" s="1024"/>
      <c r="F324" s="1018"/>
      <c r="G324" s="481">
        <v>93741.68</v>
      </c>
      <c r="H324" s="1154"/>
      <c r="I324" s="321"/>
      <c r="J324" s="480"/>
      <c r="K324" s="480"/>
      <c r="L324" s="482"/>
      <c r="M324" s="480"/>
      <c r="N324" s="421"/>
      <c r="O324" s="422"/>
      <c r="P324" s="417"/>
      <c r="Q324" s="335"/>
      <c r="R324" s="335"/>
      <c r="S324" s="2"/>
      <c r="T324" s="2"/>
      <c r="U324" s="2"/>
      <c r="V324" s="2"/>
    </row>
    <row r="325" spans="1:22" s="8" customFormat="1" ht="17.25" outlineLevel="1" thickBot="1" x14ac:dyDescent="0.3">
      <c r="A325" s="1014" t="s">
        <v>629</v>
      </c>
      <c r="B325" s="1015"/>
      <c r="C325" s="483"/>
      <c r="D325" s="423">
        <f>SUM(D315,D308,D302,D300,D297,D294,D291,D288,D285,D282,D279,D276,D273,D271,D268,D265,D262,D259,D256,D251,D248,D245,D316)</f>
        <v>170820730.54880002</v>
      </c>
      <c r="E325" s="423"/>
      <c r="F325" s="423"/>
      <c r="G325" s="423">
        <f>SUM(G315,G308,G302,G300,G297,G294,G291,G288,G285,G282,G279,G276,G273,G271,G268,G265,G262,G259,G256,G251,G248,G245,G316)</f>
        <v>153550966.70474625</v>
      </c>
      <c r="H325" s="423"/>
      <c r="I325" s="423"/>
      <c r="J325" s="423">
        <f>SUM(J315,J308,J302,J300,J297,J294,J291,J288,J285,J282,J279,J276,J273,J271,J268,J265,J262,J259,J256,J251,J248,J245,J316)</f>
        <v>98333004.230000019</v>
      </c>
      <c r="K325" s="423">
        <f>SUM(K315,K308,K302,K300,K297,K294,K291,K288,K285,K282,K279,K276,K273,K271,K268,K265,K262,K259,K256,K251,K248,K245,K316)</f>
        <v>97229113.530000001</v>
      </c>
      <c r="L325" s="425"/>
      <c r="M325" s="426"/>
      <c r="N325" s="427">
        <f>AVERAGE(N315,N308,N302,N300,N297,N294,N291,N288,N285,N282,N279,N276,N273,N271,N268,N265,N262,N259,N256,N251,N248,N245)</f>
        <v>0.73888888888888893</v>
      </c>
      <c r="O325" s="484"/>
      <c r="P325" s="245"/>
      <c r="Q325" s="252"/>
      <c r="R325" s="168"/>
      <c r="S325" s="19"/>
      <c r="T325" s="19"/>
      <c r="U325" s="2"/>
      <c r="V325" s="2"/>
    </row>
    <row r="326" spans="1:22" s="6" customFormat="1" ht="24.75" customHeight="1" thickBot="1" x14ac:dyDescent="0.3">
      <c r="A326" s="1032" t="s">
        <v>634</v>
      </c>
      <c r="B326" s="1033"/>
      <c r="C326" s="1033"/>
      <c r="D326" s="1033"/>
      <c r="E326" s="1033"/>
      <c r="F326" s="1033"/>
      <c r="G326" s="1033"/>
      <c r="H326" s="1033"/>
      <c r="I326" s="1033"/>
      <c r="J326" s="1033"/>
      <c r="K326" s="1033"/>
      <c r="L326" s="1033"/>
      <c r="M326" s="1033"/>
      <c r="N326" s="1033"/>
      <c r="O326" s="1033"/>
      <c r="P326" s="176"/>
      <c r="Q326" s="177"/>
      <c r="R326" s="132"/>
      <c r="S326" s="18"/>
      <c r="T326" s="18"/>
      <c r="U326" s="9"/>
      <c r="V326" s="9"/>
    </row>
    <row r="327" spans="1:22" s="6" customFormat="1" ht="15" customHeight="1" x14ac:dyDescent="0.25">
      <c r="A327" s="1063">
        <v>1</v>
      </c>
      <c r="B327" s="1060" t="s">
        <v>96</v>
      </c>
      <c r="C327" s="275" t="s">
        <v>35</v>
      </c>
      <c r="D327" s="485">
        <v>1341468.44</v>
      </c>
      <c r="E327" s="985" t="s">
        <v>742</v>
      </c>
      <c r="F327" s="984" t="s">
        <v>596</v>
      </c>
      <c r="G327" s="486">
        <v>1565974.57</v>
      </c>
      <c r="H327" s="976">
        <v>42475</v>
      </c>
      <c r="I327" s="976">
        <v>42460</v>
      </c>
      <c r="J327" s="275">
        <v>1341468.44</v>
      </c>
      <c r="K327" s="275">
        <v>1341468.44</v>
      </c>
      <c r="L327" s="212"/>
      <c r="M327" s="487">
        <f>J327-D327</f>
        <v>0</v>
      </c>
      <c r="N327" s="488">
        <v>1</v>
      </c>
      <c r="O327" s="489"/>
      <c r="P327" s="176"/>
      <c r="Q327" s="177"/>
      <c r="R327" s="132"/>
      <c r="S327" s="18"/>
      <c r="T327" s="9"/>
      <c r="U327" s="9"/>
      <c r="V327" s="9"/>
    </row>
    <row r="328" spans="1:22" s="8" customFormat="1" ht="15" customHeight="1" outlineLevel="1" x14ac:dyDescent="0.25">
      <c r="A328" s="1009"/>
      <c r="B328" s="1005"/>
      <c r="C328" s="163" t="s">
        <v>36</v>
      </c>
      <c r="D328" s="490">
        <v>1770792.26</v>
      </c>
      <c r="E328" s="985"/>
      <c r="F328" s="985"/>
      <c r="G328" s="354">
        <v>1572189.62</v>
      </c>
      <c r="H328" s="976"/>
      <c r="I328" s="978"/>
      <c r="J328" s="163">
        <v>1770792.2599999998</v>
      </c>
      <c r="K328" s="163">
        <v>1770792.2600000002</v>
      </c>
      <c r="L328" s="210"/>
      <c r="M328" s="316">
        <f t="shared" ref="M328:M333" si="1">J328-D328</f>
        <v>0</v>
      </c>
      <c r="N328" s="213">
        <v>1</v>
      </c>
      <c r="O328" s="491"/>
      <c r="P328" s="176"/>
      <c r="Q328" s="177"/>
      <c r="R328" s="132"/>
      <c r="S328" s="18"/>
      <c r="T328" s="2"/>
      <c r="U328" s="2"/>
      <c r="V328" s="2"/>
    </row>
    <row r="329" spans="1:22" s="8" customFormat="1" ht="16.5" outlineLevel="1" x14ac:dyDescent="0.25">
      <c r="A329" s="1009"/>
      <c r="B329" s="1005"/>
      <c r="C329" s="163" t="s">
        <v>505</v>
      </c>
      <c r="D329" s="490">
        <v>3267967.71</v>
      </c>
      <c r="E329" s="986"/>
      <c r="F329" s="986"/>
      <c r="G329" s="492">
        <v>3261641.39</v>
      </c>
      <c r="H329" s="977"/>
      <c r="I329" s="979"/>
      <c r="J329" s="163">
        <v>3267967.71</v>
      </c>
      <c r="K329" s="163">
        <v>3267967.71</v>
      </c>
      <c r="L329" s="210"/>
      <c r="M329" s="316">
        <f t="shared" si="1"/>
        <v>0</v>
      </c>
      <c r="N329" s="213">
        <v>1</v>
      </c>
      <c r="O329" s="491"/>
      <c r="P329" s="176"/>
      <c r="Q329" s="177"/>
      <c r="R329" s="132"/>
      <c r="S329" s="18"/>
      <c r="T329" s="2"/>
      <c r="U329" s="2"/>
      <c r="V329" s="2"/>
    </row>
    <row r="330" spans="1:22" s="8" customFormat="1" ht="49.5" outlineLevel="1" x14ac:dyDescent="0.25">
      <c r="A330" s="1009"/>
      <c r="B330" s="1005"/>
      <c r="C330" s="294" t="s">
        <v>37</v>
      </c>
      <c r="D330" s="180">
        <f>153295.18*1.18</f>
        <v>180888.3124</v>
      </c>
      <c r="E330" s="181" t="s">
        <v>547</v>
      </c>
      <c r="F330" s="493" t="s">
        <v>548</v>
      </c>
      <c r="G330" s="182">
        <v>180448.29</v>
      </c>
      <c r="H330" s="183">
        <v>42381</v>
      </c>
      <c r="I330" s="183">
        <v>42381</v>
      </c>
      <c r="J330" s="184">
        <v>180888.31</v>
      </c>
      <c r="K330" s="184">
        <v>180888.306984</v>
      </c>
      <c r="L330" s="183"/>
      <c r="M330" s="184">
        <f t="shared" si="1"/>
        <v>-2.3999999975785613E-3</v>
      </c>
      <c r="N330" s="202"/>
      <c r="O330" s="283" t="s">
        <v>680</v>
      </c>
      <c r="P330" s="176"/>
      <c r="Q330" s="177"/>
      <c r="R330" s="132"/>
      <c r="S330" s="18"/>
      <c r="T330" s="2"/>
      <c r="U330" s="2"/>
      <c r="V330" s="2"/>
    </row>
    <row r="331" spans="1:22" s="6" customFormat="1" ht="17.25" outlineLevel="1" thickBot="1" x14ac:dyDescent="0.3">
      <c r="A331" s="1006" t="s">
        <v>628</v>
      </c>
      <c r="B331" s="1007"/>
      <c r="C331" s="365"/>
      <c r="D331" s="365">
        <f>SUM(D327:D330)</f>
        <v>6561116.7224000003</v>
      </c>
      <c r="E331" s="188"/>
      <c r="F331" s="188"/>
      <c r="G331" s="366">
        <f>SUM(G327:G330)</f>
        <v>6580253.8700000001</v>
      </c>
      <c r="H331" s="192"/>
      <c r="I331" s="494"/>
      <c r="J331" s="365">
        <f>SUM(J327:J330)</f>
        <v>6561116.7199999997</v>
      </c>
      <c r="K331" s="365">
        <f>SUM(K327:K330)</f>
        <v>6561116.7169840001</v>
      </c>
      <c r="L331" s="367"/>
      <c r="M331" s="365"/>
      <c r="N331" s="368">
        <f>AVERAGE(N327:N330)</f>
        <v>1</v>
      </c>
      <c r="O331" s="495"/>
      <c r="P331" s="176"/>
      <c r="Q331" s="177"/>
      <c r="R331" s="168"/>
      <c r="S331" s="19"/>
      <c r="T331" s="9"/>
      <c r="U331" s="9"/>
      <c r="V331" s="9"/>
    </row>
    <row r="332" spans="1:22" s="6" customFormat="1" ht="66" x14ac:dyDescent="0.25">
      <c r="A332" s="1008">
        <v>2</v>
      </c>
      <c r="B332" s="1004" t="s">
        <v>97</v>
      </c>
      <c r="C332" s="162" t="s">
        <v>500</v>
      </c>
      <c r="D332" s="162">
        <v>8997282.8800000008</v>
      </c>
      <c r="E332" s="161" t="s">
        <v>599</v>
      </c>
      <c r="F332" s="161" t="s">
        <v>600</v>
      </c>
      <c r="G332" s="353">
        <v>9606310.3800000008</v>
      </c>
      <c r="H332" s="161">
        <v>42391</v>
      </c>
      <c r="I332" s="161">
        <v>42410</v>
      </c>
      <c r="J332" s="162">
        <v>8997282.8800000008</v>
      </c>
      <c r="K332" s="162">
        <v>8997282.879999999</v>
      </c>
      <c r="L332" s="161"/>
      <c r="M332" s="487">
        <f t="shared" si="1"/>
        <v>0</v>
      </c>
      <c r="N332" s="200">
        <v>1</v>
      </c>
      <c r="O332" s="456"/>
      <c r="P332" s="176"/>
      <c r="Q332" s="177"/>
      <c r="R332" s="168"/>
      <c r="S332" s="19"/>
      <c r="T332" s="9"/>
      <c r="U332" s="9"/>
      <c r="V332" s="9"/>
    </row>
    <row r="333" spans="1:22" s="8" customFormat="1" ht="49.5" outlineLevel="1" x14ac:dyDescent="0.25">
      <c r="A333" s="1009"/>
      <c r="B333" s="1005"/>
      <c r="C333" s="294" t="s">
        <v>37</v>
      </c>
      <c r="D333" s="180">
        <f>89033.01*1.18</f>
        <v>105058.9518</v>
      </c>
      <c r="E333" s="181" t="s">
        <v>547</v>
      </c>
      <c r="F333" s="181" t="s">
        <v>548</v>
      </c>
      <c r="G333" s="182">
        <v>104803.39</v>
      </c>
      <c r="H333" s="183">
        <v>42381</v>
      </c>
      <c r="I333" s="183">
        <v>42381</v>
      </c>
      <c r="J333" s="184">
        <v>105058.94999999998</v>
      </c>
      <c r="K333" s="184">
        <v>105058.94828000001</v>
      </c>
      <c r="L333" s="183"/>
      <c r="M333" s="184">
        <f t="shared" si="1"/>
        <v>-1.8000000127358362E-3</v>
      </c>
      <c r="N333" s="202"/>
      <c r="O333" s="283" t="s">
        <v>680</v>
      </c>
      <c r="P333" s="176"/>
      <c r="Q333" s="446"/>
      <c r="R333" s="496"/>
      <c r="S333" s="2"/>
      <c r="T333" s="2"/>
      <c r="U333" s="2"/>
      <c r="V333" s="2"/>
    </row>
    <row r="334" spans="1:22" s="8" customFormat="1" ht="17.25" outlineLevel="1" thickBot="1" x14ac:dyDescent="0.3">
      <c r="A334" s="1006" t="s">
        <v>628</v>
      </c>
      <c r="B334" s="1007"/>
      <c r="C334" s="454"/>
      <c r="D334" s="365">
        <f>SUM(D332:D333)</f>
        <v>9102341.8318000007</v>
      </c>
      <c r="E334" s="239"/>
      <c r="F334" s="239"/>
      <c r="G334" s="366">
        <f>SUM(G332:G333)</f>
        <v>9711113.7700000014</v>
      </c>
      <c r="H334" s="309"/>
      <c r="I334" s="494"/>
      <c r="J334" s="365">
        <f>SUM(J332:J333)</f>
        <v>9102341.8300000001</v>
      </c>
      <c r="K334" s="365">
        <f>SUM(K332:K333)</f>
        <v>9102341.8282799982</v>
      </c>
      <c r="L334" s="367"/>
      <c r="M334" s="365"/>
      <c r="N334" s="368">
        <f>AVERAGE(N332:N333)</f>
        <v>1</v>
      </c>
      <c r="O334" s="455"/>
      <c r="P334" s="176"/>
      <c r="Q334" s="497"/>
      <c r="R334" s="496"/>
      <c r="S334" s="20"/>
      <c r="T334" s="2"/>
      <c r="U334" s="2"/>
      <c r="V334" s="2"/>
    </row>
    <row r="335" spans="1:22" s="6" customFormat="1" ht="22.5" customHeight="1" x14ac:dyDescent="0.25">
      <c r="A335" s="1063">
        <v>3</v>
      </c>
      <c r="B335" s="1060" t="s">
        <v>98</v>
      </c>
      <c r="C335" s="275" t="s">
        <v>36</v>
      </c>
      <c r="D335" s="275">
        <v>1555661.9939999999</v>
      </c>
      <c r="E335" s="985" t="s">
        <v>751</v>
      </c>
      <c r="F335" s="985" t="s">
        <v>596</v>
      </c>
      <c r="G335" s="486">
        <v>1687782.08</v>
      </c>
      <c r="H335" s="976">
        <v>42475</v>
      </c>
      <c r="I335" s="976">
        <v>42451</v>
      </c>
      <c r="J335" s="275">
        <v>1555661.99</v>
      </c>
      <c r="K335" s="275">
        <v>1555661.9900000002</v>
      </c>
      <c r="L335" s="212"/>
      <c r="M335" s="498">
        <f t="shared" ref="M335:M337" si="2">J335-D335</f>
        <v>-3.9999999571591616E-3</v>
      </c>
      <c r="N335" s="488">
        <v>1</v>
      </c>
      <c r="O335" s="489"/>
      <c r="P335" s="176"/>
      <c r="Q335" s="177"/>
      <c r="R335" s="168"/>
      <c r="S335" s="19"/>
      <c r="T335" s="9"/>
      <c r="U335" s="9"/>
      <c r="V335" s="9"/>
    </row>
    <row r="336" spans="1:22" s="8" customFormat="1" ht="22.5" customHeight="1" outlineLevel="1" x14ac:dyDescent="0.25">
      <c r="A336" s="1009"/>
      <c r="B336" s="1005"/>
      <c r="C336" s="163" t="s">
        <v>505</v>
      </c>
      <c r="D336" s="163">
        <v>3138231.24</v>
      </c>
      <c r="E336" s="986"/>
      <c r="F336" s="986"/>
      <c r="G336" s="354">
        <v>2898884.49</v>
      </c>
      <c r="H336" s="977"/>
      <c r="I336" s="977"/>
      <c r="J336" s="163">
        <v>3138231.24</v>
      </c>
      <c r="K336" s="163">
        <v>3138231.2399999998</v>
      </c>
      <c r="L336" s="210"/>
      <c r="M336" s="316">
        <f t="shared" si="2"/>
        <v>0</v>
      </c>
      <c r="N336" s="213">
        <v>1</v>
      </c>
      <c r="O336" s="491"/>
      <c r="P336" s="176"/>
      <c r="Q336" s="177"/>
      <c r="R336" s="132"/>
      <c r="S336" s="18"/>
      <c r="T336" s="2"/>
      <c r="U336" s="2"/>
      <c r="V336" s="2"/>
    </row>
    <row r="337" spans="1:22" s="8" customFormat="1" ht="49.5" outlineLevel="1" x14ac:dyDescent="0.25">
      <c r="A337" s="1009"/>
      <c r="B337" s="1005"/>
      <c r="C337" s="294" t="s">
        <v>37</v>
      </c>
      <c r="D337" s="180">
        <f>98339.51*1.18</f>
        <v>116040.62179999999</v>
      </c>
      <c r="E337" s="181" t="s">
        <v>547</v>
      </c>
      <c r="F337" s="493" t="s">
        <v>548</v>
      </c>
      <c r="G337" s="182">
        <v>115758.34</v>
      </c>
      <c r="H337" s="183">
        <v>42381</v>
      </c>
      <c r="I337" s="183">
        <v>42381</v>
      </c>
      <c r="J337" s="184">
        <v>116040.62</v>
      </c>
      <c r="K337" s="184">
        <v>116040.623568</v>
      </c>
      <c r="L337" s="183"/>
      <c r="M337" s="184">
        <f t="shared" si="2"/>
        <v>-1.799999998183921E-3</v>
      </c>
      <c r="N337" s="202"/>
      <c r="O337" s="283" t="s">
        <v>680</v>
      </c>
      <c r="P337" s="176"/>
      <c r="Q337" s="177"/>
      <c r="R337" s="132"/>
      <c r="S337" s="18"/>
      <c r="T337" s="2"/>
      <c r="U337" s="2"/>
      <c r="V337" s="2"/>
    </row>
    <row r="338" spans="1:22" s="8" customFormat="1" ht="17.25" outlineLevel="1" thickBot="1" x14ac:dyDescent="0.3">
      <c r="A338" s="1006" t="s">
        <v>628</v>
      </c>
      <c r="B338" s="1007"/>
      <c r="C338" s="454"/>
      <c r="D338" s="365">
        <f>SUM(D335:D337)</f>
        <v>4809933.8558</v>
      </c>
      <c r="E338" s="239"/>
      <c r="F338" s="239"/>
      <c r="G338" s="366">
        <f>SUM(G335:G337)</f>
        <v>4702424.91</v>
      </c>
      <c r="H338" s="309"/>
      <c r="I338" s="494"/>
      <c r="J338" s="365">
        <f>SUM(J335:J337)</f>
        <v>4809933.8500000006</v>
      </c>
      <c r="K338" s="365">
        <f>SUM(K335:K337)</f>
        <v>4809933.8535680007</v>
      </c>
      <c r="L338" s="367"/>
      <c r="M338" s="365"/>
      <c r="N338" s="368">
        <f>AVERAGE(N335:N337)</f>
        <v>1</v>
      </c>
      <c r="O338" s="455"/>
      <c r="P338" s="176"/>
      <c r="Q338" s="177"/>
      <c r="R338" s="132"/>
      <c r="S338" s="18"/>
      <c r="T338" s="2"/>
      <c r="U338" s="2"/>
      <c r="V338" s="2"/>
    </row>
    <row r="339" spans="1:22" s="6" customFormat="1" ht="82.5" x14ac:dyDescent="0.25">
      <c r="A339" s="1008">
        <v>4</v>
      </c>
      <c r="B339" s="1004" t="s">
        <v>506</v>
      </c>
      <c r="C339" s="162" t="s">
        <v>500</v>
      </c>
      <c r="D339" s="162">
        <v>13535679.699999999</v>
      </c>
      <c r="E339" s="161" t="s">
        <v>601</v>
      </c>
      <c r="F339" s="161" t="s">
        <v>602</v>
      </c>
      <c r="G339" s="353">
        <v>12305681.92</v>
      </c>
      <c r="H339" s="161">
        <v>42399</v>
      </c>
      <c r="I339" s="161">
        <v>42410</v>
      </c>
      <c r="J339" s="162">
        <v>13535679.699999999</v>
      </c>
      <c r="K339" s="162">
        <v>13535679.710000001</v>
      </c>
      <c r="L339" s="161"/>
      <c r="M339" s="316">
        <f t="shared" ref="M339:M340" si="3">J339-D339</f>
        <v>0</v>
      </c>
      <c r="N339" s="200">
        <v>1</v>
      </c>
      <c r="O339" s="456"/>
      <c r="P339" s="176"/>
      <c r="Q339" s="177"/>
      <c r="R339" s="132"/>
      <c r="S339" s="18"/>
      <c r="T339" s="9"/>
      <c r="U339" s="9"/>
      <c r="V339" s="9"/>
    </row>
    <row r="340" spans="1:22" s="8" customFormat="1" ht="49.5" outlineLevel="1" x14ac:dyDescent="0.25">
      <c r="A340" s="1009"/>
      <c r="B340" s="1005"/>
      <c r="C340" s="294" t="s">
        <v>37</v>
      </c>
      <c r="D340" s="180">
        <f>77382.89*1.18</f>
        <v>91311.810199999993</v>
      </c>
      <c r="E340" s="181" t="s">
        <v>547</v>
      </c>
      <c r="F340" s="181" t="s">
        <v>548</v>
      </c>
      <c r="G340" s="182">
        <v>91089.69</v>
      </c>
      <c r="H340" s="183">
        <v>42381</v>
      </c>
      <c r="I340" s="183">
        <v>42381</v>
      </c>
      <c r="J340" s="184">
        <v>91311.81</v>
      </c>
      <c r="K340" s="184">
        <v>91311.812384000004</v>
      </c>
      <c r="L340" s="183"/>
      <c r="M340" s="184">
        <f t="shared" si="3"/>
        <v>-1.9999999494757503E-4</v>
      </c>
      <c r="N340" s="202"/>
      <c r="O340" s="283" t="s">
        <v>680</v>
      </c>
      <c r="P340" s="176"/>
      <c r="Q340" s="446"/>
      <c r="R340" s="496"/>
      <c r="S340" s="2"/>
      <c r="T340" s="2"/>
      <c r="U340" s="2"/>
      <c r="V340" s="2"/>
    </row>
    <row r="341" spans="1:22" s="8" customFormat="1" ht="17.25" outlineLevel="1" thickBot="1" x14ac:dyDescent="0.3">
      <c r="A341" s="1006" t="s">
        <v>628</v>
      </c>
      <c r="B341" s="1007"/>
      <c r="C341" s="454"/>
      <c r="D341" s="365">
        <f>SUM(D339:D340)</f>
        <v>13626991.510199999</v>
      </c>
      <c r="E341" s="239"/>
      <c r="F341" s="239"/>
      <c r="G341" s="366">
        <f>SUM(G339:G340)</f>
        <v>12396771.609999999</v>
      </c>
      <c r="H341" s="309"/>
      <c r="I341" s="321"/>
      <c r="J341" s="365">
        <f>SUM(J339:J340)</f>
        <v>13626991.51</v>
      </c>
      <c r="K341" s="365">
        <f>SUM(K339:K340)</f>
        <v>13626991.522384001</v>
      </c>
      <c r="L341" s="367"/>
      <c r="M341" s="365"/>
      <c r="N341" s="395">
        <f>AVERAGE(N339:N340)</f>
        <v>1</v>
      </c>
      <c r="O341" s="455"/>
      <c r="P341" s="176"/>
      <c r="Q341" s="177"/>
      <c r="R341" s="132"/>
      <c r="S341" s="18"/>
      <c r="T341" s="2"/>
      <c r="U341" s="2"/>
      <c r="V341" s="2"/>
    </row>
    <row r="342" spans="1:22" s="6" customFormat="1" ht="15" customHeight="1" x14ac:dyDescent="0.25">
      <c r="A342" s="1008">
        <v>5</v>
      </c>
      <c r="B342" s="1004" t="s">
        <v>99</v>
      </c>
      <c r="C342" s="162" t="s">
        <v>35</v>
      </c>
      <c r="D342" s="499">
        <v>1299731.96</v>
      </c>
      <c r="E342" s="984" t="s">
        <v>742</v>
      </c>
      <c r="F342" s="984" t="s">
        <v>596</v>
      </c>
      <c r="G342" s="353">
        <v>1501799.28</v>
      </c>
      <c r="H342" s="975">
        <v>42475</v>
      </c>
      <c r="I342" s="161">
        <v>42474</v>
      </c>
      <c r="J342" s="162">
        <v>1299731.96</v>
      </c>
      <c r="K342" s="162">
        <v>1299731.96</v>
      </c>
      <c r="L342" s="161"/>
      <c r="M342" s="316">
        <f t="shared" ref="M342:M345" si="4">J342-D342</f>
        <v>0</v>
      </c>
      <c r="N342" s="200">
        <v>1</v>
      </c>
      <c r="O342" s="456"/>
      <c r="P342" s="176"/>
      <c r="Q342" s="177"/>
      <c r="R342" s="132"/>
      <c r="S342" s="18"/>
      <c r="T342" s="9"/>
      <c r="U342" s="9"/>
      <c r="V342" s="9"/>
    </row>
    <row r="343" spans="1:22" s="8" customFormat="1" ht="15" customHeight="1" outlineLevel="1" x14ac:dyDescent="0.25">
      <c r="A343" s="1009"/>
      <c r="B343" s="1005"/>
      <c r="C343" s="163" t="s">
        <v>36</v>
      </c>
      <c r="D343" s="490">
        <v>1936588.28</v>
      </c>
      <c r="E343" s="985"/>
      <c r="F343" s="985"/>
      <c r="G343" s="354">
        <v>1948149.49</v>
      </c>
      <c r="H343" s="976"/>
      <c r="I343" s="210">
        <v>42469</v>
      </c>
      <c r="J343" s="163">
        <v>1936588.28</v>
      </c>
      <c r="K343" s="163">
        <v>1936588.28</v>
      </c>
      <c r="L343" s="210"/>
      <c r="M343" s="316">
        <f t="shared" si="4"/>
        <v>0</v>
      </c>
      <c r="N343" s="213">
        <v>1</v>
      </c>
      <c r="O343" s="491"/>
      <c r="P343" s="176"/>
      <c r="Q343" s="177"/>
      <c r="R343" s="132"/>
      <c r="S343" s="18"/>
      <c r="T343" s="2"/>
      <c r="U343" s="2"/>
      <c r="V343" s="2"/>
    </row>
    <row r="344" spans="1:22" s="8" customFormat="1" ht="16.5" outlineLevel="1" x14ac:dyDescent="0.25">
      <c r="A344" s="1009"/>
      <c r="B344" s="1005"/>
      <c r="C344" s="163" t="s">
        <v>500</v>
      </c>
      <c r="D344" s="490">
        <v>6628397.4000000004</v>
      </c>
      <c r="E344" s="986"/>
      <c r="F344" s="986"/>
      <c r="G344" s="354">
        <v>6488579.0800000001</v>
      </c>
      <c r="H344" s="977"/>
      <c r="I344" s="210">
        <v>42460</v>
      </c>
      <c r="J344" s="163">
        <v>6628397.4000000004</v>
      </c>
      <c r="K344" s="163">
        <v>6628397.4000000004</v>
      </c>
      <c r="L344" s="210"/>
      <c r="M344" s="316">
        <f t="shared" si="4"/>
        <v>0</v>
      </c>
      <c r="N344" s="213">
        <v>1</v>
      </c>
      <c r="O344" s="491"/>
      <c r="P344" s="176"/>
      <c r="Q344" s="177"/>
      <c r="R344" s="132"/>
      <c r="S344" s="18"/>
      <c r="T344" s="2"/>
      <c r="U344" s="2"/>
      <c r="V344" s="2"/>
    </row>
    <row r="345" spans="1:22" s="8" customFormat="1" ht="49.5" outlineLevel="1" x14ac:dyDescent="0.25">
      <c r="A345" s="1009"/>
      <c r="B345" s="1005"/>
      <c r="C345" s="294" t="s">
        <v>37</v>
      </c>
      <c r="D345" s="180">
        <f>179597.78*1.18</f>
        <v>211925.38039999999</v>
      </c>
      <c r="E345" s="181" t="s">
        <v>547</v>
      </c>
      <c r="F345" s="493" t="s">
        <v>548</v>
      </c>
      <c r="G345" s="182">
        <v>211409.86</v>
      </c>
      <c r="H345" s="183">
        <v>42381</v>
      </c>
      <c r="I345" s="183">
        <v>42381</v>
      </c>
      <c r="J345" s="184">
        <v>211925.38</v>
      </c>
      <c r="K345" s="184">
        <v>211925.37883199999</v>
      </c>
      <c r="L345" s="183"/>
      <c r="M345" s="184">
        <f t="shared" si="4"/>
        <v>-3.9999998989515007E-4</v>
      </c>
      <c r="N345" s="202"/>
      <c r="O345" s="283" t="s">
        <v>680</v>
      </c>
      <c r="P345" s="176"/>
      <c r="Q345" s="177"/>
      <c r="R345" s="132"/>
      <c r="S345" s="18"/>
      <c r="T345" s="2"/>
      <c r="U345" s="2"/>
      <c r="V345" s="2"/>
    </row>
    <row r="346" spans="1:22" s="8" customFormat="1" ht="17.25" outlineLevel="1" thickBot="1" x14ac:dyDescent="0.3">
      <c r="A346" s="1006" t="s">
        <v>628</v>
      </c>
      <c r="B346" s="1007"/>
      <c r="C346" s="454"/>
      <c r="D346" s="365">
        <f>SUM(D342:D345)</f>
        <v>10076643.020400001</v>
      </c>
      <c r="E346" s="188"/>
      <c r="F346" s="188"/>
      <c r="G346" s="366">
        <f>SUM(G342:G345)</f>
        <v>10149937.709999999</v>
      </c>
      <c r="H346" s="192"/>
      <c r="I346" s="494"/>
      <c r="J346" s="365">
        <f>SUM(J342:J345)</f>
        <v>10076643.020000001</v>
      </c>
      <c r="K346" s="365">
        <f>SUM(K342:K345)</f>
        <v>10076643.018832</v>
      </c>
      <c r="L346" s="367"/>
      <c r="M346" s="365"/>
      <c r="N346" s="368">
        <f>AVERAGE(N342:N345)</f>
        <v>1</v>
      </c>
      <c r="O346" s="455"/>
      <c r="P346" s="176"/>
      <c r="Q346" s="177"/>
      <c r="R346" s="168"/>
      <c r="S346" s="19"/>
      <c r="T346" s="2"/>
      <c r="U346" s="2"/>
      <c r="V346" s="2"/>
    </row>
    <row r="347" spans="1:22" s="6" customFormat="1" ht="29.25" customHeight="1" x14ac:dyDescent="0.25">
      <c r="A347" s="1008">
        <v>6</v>
      </c>
      <c r="B347" s="1004" t="s">
        <v>122</v>
      </c>
      <c r="C347" s="162" t="s">
        <v>500</v>
      </c>
      <c r="D347" s="162">
        <v>7770537.7199999997</v>
      </c>
      <c r="E347" s="197" t="s">
        <v>839</v>
      </c>
      <c r="F347" s="197" t="s">
        <v>840</v>
      </c>
      <c r="G347" s="353">
        <v>7482581.96</v>
      </c>
      <c r="H347" s="161">
        <v>42560</v>
      </c>
      <c r="I347" s="161">
        <v>42545</v>
      </c>
      <c r="J347" s="162">
        <v>7770537.7199999997</v>
      </c>
      <c r="K347" s="162">
        <v>7770537.7199999997</v>
      </c>
      <c r="L347" s="161"/>
      <c r="M347" s="316">
        <f t="shared" ref="M347:M348" si="5">J347-D347</f>
        <v>0</v>
      </c>
      <c r="N347" s="200">
        <v>1</v>
      </c>
      <c r="O347" s="500"/>
      <c r="P347" s="176"/>
      <c r="Q347" s="177"/>
      <c r="R347" s="132"/>
      <c r="S347" s="18"/>
      <c r="T347" s="9"/>
      <c r="U347" s="9"/>
      <c r="V347" s="9"/>
    </row>
    <row r="348" spans="1:22" s="8" customFormat="1" ht="49.5" outlineLevel="1" x14ac:dyDescent="0.25">
      <c r="A348" s="1009"/>
      <c r="B348" s="1005"/>
      <c r="C348" s="294" t="s">
        <v>37</v>
      </c>
      <c r="D348" s="180">
        <f>99049.97*1.18</f>
        <v>116878.96459999999</v>
      </c>
      <c r="E348" s="181" t="s">
        <v>555</v>
      </c>
      <c r="F348" s="181" t="s">
        <v>554</v>
      </c>
      <c r="G348" s="182">
        <f>99049.97*1.18</f>
        <v>116878.96459999999</v>
      </c>
      <c r="H348" s="183">
        <v>42429</v>
      </c>
      <c r="I348" s="183">
        <v>42429</v>
      </c>
      <c r="J348" s="184">
        <v>116878.97</v>
      </c>
      <c r="K348" s="184">
        <v>116878.97</v>
      </c>
      <c r="L348" s="183"/>
      <c r="M348" s="184">
        <f t="shared" si="5"/>
        <v>5.4000000091036782E-3</v>
      </c>
      <c r="N348" s="202"/>
      <c r="O348" s="283" t="s">
        <v>680</v>
      </c>
      <c r="P348" s="176"/>
      <c r="Q348" s="177"/>
      <c r="R348" s="132"/>
      <c r="S348" s="18"/>
      <c r="T348" s="2"/>
      <c r="U348" s="2"/>
      <c r="V348" s="2"/>
    </row>
    <row r="349" spans="1:22" s="8" customFormat="1" ht="17.25" outlineLevel="1" thickBot="1" x14ac:dyDescent="0.3">
      <c r="A349" s="1006" t="s">
        <v>628</v>
      </c>
      <c r="B349" s="1007"/>
      <c r="C349" s="454"/>
      <c r="D349" s="365">
        <f>SUM(D347:D348)</f>
        <v>7887416.6845999993</v>
      </c>
      <c r="E349" s="188"/>
      <c r="F349" s="188"/>
      <c r="G349" s="366">
        <f>SUM(G347:G348)</f>
        <v>7599460.9245999996</v>
      </c>
      <c r="H349" s="192"/>
      <c r="I349" s="190"/>
      <c r="J349" s="365">
        <f>SUM(J347:J348)</f>
        <v>7887416.6899999995</v>
      </c>
      <c r="K349" s="365">
        <f>SUM(K347:K348)</f>
        <v>7887416.6899999995</v>
      </c>
      <c r="L349" s="367"/>
      <c r="M349" s="365"/>
      <c r="N349" s="395">
        <f>AVERAGE(N347:N348)</f>
        <v>1</v>
      </c>
      <c r="O349" s="455"/>
      <c r="P349" s="176"/>
      <c r="Q349" s="177"/>
      <c r="R349" s="168"/>
      <c r="S349" s="19"/>
      <c r="T349" s="2"/>
      <c r="U349" s="2"/>
      <c r="V349" s="2"/>
    </row>
    <row r="350" spans="1:22" s="6" customFormat="1" ht="33" x14ac:dyDescent="0.25">
      <c r="A350" s="1008">
        <v>7</v>
      </c>
      <c r="B350" s="1004" t="s">
        <v>123</v>
      </c>
      <c r="C350" s="162" t="s">
        <v>500</v>
      </c>
      <c r="D350" s="162">
        <v>2218619.2999999998</v>
      </c>
      <c r="E350" s="197" t="s">
        <v>839</v>
      </c>
      <c r="F350" s="197" t="s">
        <v>840</v>
      </c>
      <c r="G350" s="353">
        <v>2020528.51</v>
      </c>
      <c r="H350" s="161">
        <v>42560</v>
      </c>
      <c r="I350" s="161">
        <v>42545</v>
      </c>
      <c r="J350" s="162">
        <v>2218619.2999999998</v>
      </c>
      <c r="K350" s="162">
        <v>2218619.2999999998</v>
      </c>
      <c r="L350" s="161"/>
      <c r="M350" s="316">
        <f t="shared" ref="M350:M351" si="6">J350-D350</f>
        <v>0</v>
      </c>
      <c r="N350" s="200">
        <v>1</v>
      </c>
      <c r="O350" s="453"/>
      <c r="P350" s="176"/>
      <c r="Q350" s="177"/>
      <c r="R350" s="132"/>
      <c r="S350" s="18"/>
      <c r="T350" s="9"/>
      <c r="U350" s="9"/>
      <c r="V350" s="9"/>
    </row>
    <row r="351" spans="1:22" s="8" customFormat="1" ht="49.5" outlineLevel="1" x14ac:dyDescent="0.25">
      <c r="A351" s="1009"/>
      <c r="B351" s="1005"/>
      <c r="C351" s="294" t="s">
        <v>37</v>
      </c>
      <c r="D351" s="180">
        <f>75166.41*1.18</f>
        <v>88696.363800000006</v>
      </c>
      <c r="E351" s="181" t="s">
        <v>555</v>
      </c>
      <c r="F351" s="181" t="s">
        <v>554</v>
      </c>
      <c r="G351" s="182">
        <f>75166.41*1.18</f>
        <v>88696.363800000006</v>
      </c>
      <c r="H351" s="183">
        <v>42429</v>
      </c>
      <c r="I351" s="183">
        <v>42429</v>
      </c>
      <c r="J351" s="184">
        <v>88696.360000000015</v>
      </c>
      <c r="K351" s="184">
        <v>88696.36</v>
      </c>
      <c r="L351" s="183"/>
      <c r="M351" s="184">
        <f t="shared" si="6"/>
        <v>-3.799999991315417E-3</v>
      </c>
      <c r="N351" s="202"/>
      <c r="O351" s="283" t="s">
        <v>693</v>
      </c>
      <c r="P351" s="176"/>
      <c r="Q351" s="177"/>
      <c r="R351" s="132"/>
      <c r="S351" s="18"/>
      <c r="T351" s="2"/>
      <c r="U351" s="2"/>
      <c r="V351" s="2"/>
    </row>
    <row r="352" spans="1:22" s="8" customFormat="1" ht="17.25" outlineLevel="1" thickBot="1" x14ac:dyDescent="0.3">
      <c r="A352" s="1006" t="s">
        <v>628</v>
      </c>
      <c r="B352" s="1007"/>
      <c r="C352" s="454"/>
      <c r="D352" s="365">
        <f>SUM(D350:D351)</f>
        <v>2307315.6637999997</v>
      </c>
      <c r="E352" s="239"/>
      <c r="F352" s="239"/>
      <c r="G352" s="366">
        <f>SUM(G350:G351)</f>
        <v>2109224.8738000002</v>
      </c>
      <c r="H352" s="309"/>
      <c r="I352" s="321"/>
      <c r="J352" s="365">
        <f>SUM(J350:J351)</f>
        <v>2307315.6599999997</v>
      </c>
      <c r="K352" s="365">
        <f>SUM(K350:K351)</f>
        <v>2307315.6599999997</v>
      </c>
      <c r="L352" s="367"/>
      <c r="M352" s="365"/>
      <c r="N352" s="395">
        <f>AVERAGE(N350:N351)</f>
        <v>1</v>
      </c>
      <c r="O352" s="455"/>
      <c r="P352" s="176"/>
      <c r="Q352" s="177"/>
      <c r="R352" s="132"/>
      <c r="S352" s="18"/>
      <c r="T352" s="2"/>
      <c r="U352" s="2"/>
      <c r="V352" s="2"/>
    </row>
    <row r="353" spans="1:22" s="6" customFormat="1" ht="29.25" customHeight="1" x14ac:dyDescent="0.25">
      <c r="A353" s="1008">
        <v>8</v>
      </c>
      <c r="B353" s="1004" t="s">
        <v>100</v>
      </c>
      <c r="C353" s="162" t="s">
        <v>500</v>
      </c>
      <c r="D353" s="162">
        <v>4054992.04</v>
      </c>
      <c r="E353" s="197" t="s">
        <v>749</v>
      </c>
      <c r="F353" s="197" t="s">
        <v>750</v>
      </c>
      <c r="G353" s="353">
        <v>4034806.17</v>
      </c>
      <c r="H353" s="161">
        <v>42500</v>
      </c>
      <c r="I353" s="161">
        <v>42489</v>
      </c>
      <c r="J353" s="162">
        <v>4054992.2</v>
      </c>
      <c r="K353" s="162">
        <v>4054992.1999999997</v>
      </c>
      <c r="L353" s="161"/>
      <c r="M353" s="316">
        <f t="shared" ref="M353" si="7">J353-D353</f>
        <v>0.16000000014901161</v>
      </c>
      <c r="N353" s="200">
        <v>1</v>
      </c>
      <c r="O353" s="456"/>
      <c r="P353" s="176"/>
      <c r="Q353" s="177"/>
      <c r="R353" s="168"/>
      <c r="S353" s="19"/>
      <c r="T353" s="9"/>
      <c r="U353" s="9"/>
      <c r="V353" s="9"/>
    </row>
    <row r="354" spans="1:22" s="8" customFormat="1" ht="27.75" customHeight="1" outlineLevel="1" x14ac:dyDescent="0.25">
      <c r="A354" s="1009"/>
      <c r="B354" s="1005"/>
      <c r="C354" s="303" t="s">
        <v>501</v>
      </c>
      <c r="D354" s="303">
        <v>7578000</v>
      </c>
      <c r="E354" s="432" t="s">
        <v>1280</v>
      </c>
      <c r="F354" s="303" t="s">
        <v>670</v>
      </c>
      <c r="G354" s="459">
        <v>6578358.4000000004</v>
      </c>
      <c r="H354" s="171">
        <v>42855</v>
      </c>
      <c r="I354" s="172"/>
      <c r="J354" s="173"/>
      <c r="K354" s="173"/>
      <c r="L354" s="171"/>
      <c r="M354" s="173"/>
      <c r="N354" s="460">
        <v>0</v>
      </c>
      <c r="O354" s="300"/>
      <c r="P354" s="176">
        <v>2017</v>
      </c>
      <c r="Q354" s="177"/>
      <c r="R354" s="132"/>
      <c r="S354" s="18"/>
      <c r="T354" s="2"/>
      <c r="U354" s="2"/>
      <c r="V354" s="2"/>
    </row>
    <row r="355" spans="1:22" s="8" customFormat="1" ht="49.5" outlineLevel="1" x14ac:dyDescent="0.25">
      <c r="A355" s="1009"/>
      <c r="B355" s="1005"/>
      <c r="C355" s="294" t="s">
        <v>37</v>
      </c>
      <c r="D355" s="180">
        <f>150649.59*1.18</f>
        <v>177766.51619999998</v>
      </c>
      <c r="E355" s="181" t="s">
        <v>547</v>
      </c>
      <c r="F355" s="493" t="s">
        <v>548</v>
      </c>
      <c r="G355" s="182">
        <v>177334.09</v>
      </c>
      <c r="H355" s="183">
        <v>42381</v>
      </c>
      <c r="I355" s="183">
        <v>42381</v>
      </c>
      <c r="J355" s="184">
        <v>177766.52</v>
      </c>
      <c r="K355" s="184">
        <v>177766.521328</v>
      </c>
      <c r="L355" s="183"/>
      <c r="M355" s="184">
        <f t="shared" ref="M355" si="8">J355-D355</f>
        <v>3.8000000058673322E-3</v>
      </c>
      <c r="N355" s="202"/>
      <c r="O355" s="283" t="s">
        <v>680</v>
      </c>
      <c r="P355" s="176"/>
      <c r="Q355" s="177"/>
      <c r="R355" s="132"/>
      <c r="S355" s="18"/>
      <c r="T355" s="2"/>
      <c r="U355" s="2"/>
      <c r="V355" s="2"/>
    </row>
    <row r="356" spans="1:22" s="8" customFormat="1" ht="17.25" outlineLevel="1" thickBot="1" x14ac:dyDescent="0.3">
      <c r="A356" s="1006" t="s">
        <v>628</v>
      </c>
      <c r="B356" s="1007"/>
      <c r="C356" s="454"/>
      <c r="D356" s="365">
        <f>SUM(D353:D355)</f>
        <v>11810758.5562</v>
      </c>
      <c r="E356" s="188"/>
      <c r="F356" s="188"/>
      <c r="G356" s="366">
        <f>SUM(G353:G355)</f>
        <v>10790498.66</v>
      </c>
      <c r="H356" s="192"/>
      <c r="I356" s="190"/>
      <c r="J356" s="365">
        <f>SUM(J353:J355)</f>
        <v>4232758.72</v>
      </c>
      <c r="K356" s="365">
        <f>SUM(K353:K355)</f>
        <v>4232758.7213279996</v>
      </c>
      <c r="L356" s="367"/>
      <c r="M356" s="365"/>
      <c r="N356" s="368">
        <f>AVERAGE(N353:N355)</f>
        <v>0.5</v>
      </c>
      <c r="O356" s="455"/>
      <c r="P356" s="176"/>
      <c r="Q356" s="177"/>
      <c r="R356" s="168"/>
      <c r="S356" s="19"/>
      <c r="T356" s="2"/>
      <c r="U356" s="2"/>
      <c r="V356" s="2"/>
    </row>
    <row r="357" spans="1:22" s="6" customFormat="1" ht="66" x14ac:dyDescent="0.25">
      <c r="A357" s="501">
        <v>9</v>
      </c>
      <c r="B357" s="465" t="s">
        <v>124</v>
      </c>
      <c r="C357" s="162" t="s">
        <v>500</v>
      </c>
      <c r="D357" s="162">
        <v>3347689.85</v>
      </c>
      <c r="E357" s="197" t="s">
        <v>598</v>
      </c>
      <c r="F357" s="197" t="s">
        <v>656</v>
      </c>
      <c r="G357" s="353">
        <v>3783605.1</v>
      </c>
      <c r="H357" s="161">
        <v>42397</v>
      </c>
      <c r="I357" s="161">
        <v>42431</v>
      </c>
      <c r="J357" s="162">
        <v>3347689.8499999996</v>
      </c>
      <c r="K357" s="162">
        <v>3347689.8499999996</v>
      </c>
      <c r="L357" s="161"/>
      <c r="M357" s="316">
        <f t="shared" ref="M357" si="9">J357-D357</f>
        <v>0</v>
      </c>
      <c r="N357" s="200">
        <v>1</v>
      </c>
      <c r="O357" s="456"/>
      <c r="P357" s="176"/>
      <c r="Q357" s="177"/>
      <c r="R357" s="132"/>
      <c r="S357" s="18"/>
      <c r="T357" s="9"/>
      <c r="U357" s="9"/>
      <c r="V357" s="9"/>
    </row>
    <row r="358" spans="1:22" s="8" customFormat="1" ht="17.25" outlineLevel="1" thickBot="1" x14ac:dyDescent="0.3">
      <c r="A358" s="1006" t="s">
        <v>628</v>
      </c>
      <c r="B358" s="1007"/>
      <c r="C358" s="454"/>
      <c r="D358" s="365">
        <f>SUM(D357:D357)</f>
        <v>3347689.85</v>
      </c>
      <c r="E358" s="239"/>
      <c r="F358" s="239"/>
      <c r="G358" s="366">
        <f>SUM(G357:G357)</f>
        <v>3783605.1</v>
      </c>
      <c r="H358" s="309"/>
      <c r="I358" s="494"/>
      <c r="J358" s="365">
        <f>SUM(J357:J357)</f>
        <v>3347689.8499999996</v>
      </c>
      <c r="K358" s="365">
        <f>SUM(K357:K357)</f>
        <v>3347689.8499999996</v>
      </c>
      <c r="L358" s="367"/>
      <c r="M358" s="365"/>
      <c r="N358" s="368">
        <f>AVERAGE(N357)</f>
        <v>1</v>
      </c>
      <c r="O358" s="455"/>
      <c r="P358" s="176"/>
      <c r="Q358" s="177"/>
      <c r="R358" s="132"/>
      <c r="S358" s="18"/>
      <c r="T358" s="2"/>
      <c r="U358" s="2"/>
      <c r="V358" s="2"/>
    </row>
    <row r="359" spans="1:22" s="6" customFormat="1" ht="27" customHeight="1" x14ac:dyDescent="0.25">
      <c r="A359" s="1008">
        <v>10</v>
      </c>
      <c r="B359" s="1004" t="s">
        <v>101</v>
      </c>
      <c r="C359" s="159" t="s">
        <v>38</v>
      </c>
      <c r="D359" s="499">
        <v>382248</v>
      </c>
      <c r="E359" s="1022" t="s">
        <v>745</v>
      </c>
      <c r="F359" s="1022" t="s">
        <v>746</v>
      </c>
      <c r="G359" s="160">
        <v>385323.1</v>
      </c>
      <c r="H359" s="1042">
        <v>42470</v>
      </c>
      <c r="I359" s="1042">
        <v>42503</v>
      </c>
      <c r="J359" s="159">
        <v>382248</v>
      </c>
      <c r="K359" s="159">
        <v>382248</v>
      </c>
      <c r="L359" s="502"/>
      <c r="M359" s="316">
        <f t="shared" ref="M359:M361" si="10">J359-D359</f>
        <v>0</v>
      </c>
      <c r="N359" s="503">
        <v>1</v>
      </c>
      <c r="O359" s="233"/>
      <c r="P359" s="176"/>
      <c r="Q359" s="177"/>
      <c r="R359" s="168"/>
      <c r="S359" s="19"/>
      <c r="T359" s="9"/>
      <c r="U359" s="9"/>
      <c r="V359" s="9"/>
    </row>
    <row r="360" spans="1:22" s="8" customFormat="1" ht="15" customHeight="1" outlineLevel="1" x14ac:dyDescent="0.25">
      <c r="A360" s="1009"/>
      <c r="B360" s="1005"/>
      <c r="C360" s="208" t="s">
        <v>35</v>
      </c>
      <c r="D360" s="490">
        <v>280246</v>
      </c>
      <c r="E360" s="1023"/>
      <c r="F360" s="1023"/>
      <c r="G360" s="209">
        <v>299631.5</v>
      </c>
      <c r="H360" s="1043"/>
      <c r="I360" s="1043"/>
      <c r="J360" s="208">
        <v>280246</v>
      </c>
      <c r="K360" s="208">
        <v>280246</v>
      </c>
      <c r="L360" s="415"/>
      <c r="M360" s="316">
        <f t="shared" si="10"/>
        <v>0</v>
      </c>
      <c r="N360" s="504">
        <v>1</v>
      </c>
      <c r="O360" s="505"/>
      <c r="P360" s="176"/>
      <c r="Q360" s="177"/>
      <c r="R360" s="132"/>
      <c r="S360" s="18"/>
      <c r="T360" s="2"/>
      <c r="U360" s="2"/>
      <c r="V360" s="2"/>
    </row>
    <row r="361" spans="1:22" s="8" customFormat="1" ht="49.5" outlineLevel="1" x14ac:dyDescent="0.25">
      <c r="A361" s="1009"/>
      <c r="B361" s="1005"/>
      <c r="C361" s="294" t="s">
        <v>37</v>
      </c>
      <c r="D361" s="180">
        <f>57224.76*1.18</f>
        <v>67525.216799999995</v>
      </c>
      <c r="E361" s="181" t="s">
        <v>547</v>
      </c>
      <c r="F361" s="493" t="s">
        <v>548</v>
      </c>
      <c r="G361" s="182">
        <v>67360.960000000006</v>
      </c>
      <c r="H361" s="183">
        <v>42381</v>
      </c>
      <c r="I361" s="183">
        <v>42381</v>
      </c>
      <c r="J361" s="184">
        <v>67525.22</v>
      </c>
      <c r="K361" s="184">
        <v>67525.213008000006</v>
      </c>
      <c r="L361" s="183"/>
      <c r="M361" s="184">
        <f t="shared" si="10"/>
        <v>3.2000000064726919E-3</v>
      </c>
      <c r="N361" s="202"/>
      <c r="O361" s="283" t="s">
        <v>681</v>
      </c>
      <c r="P361" s="176"/>
      <c r="Q361" s="177"/>
      <c r="R361" s="132"/>
      <c r="S361" s="18"/>
      <c r="T361" s="2"/>
      <c r="U361" s="2"/>
      <c r="V361" s="2"/>
    </row>
    <row r="362" spans="1:22" s="8" customFormat="1" ht="17.25" outlineLevel="1" thickBot="1" x14ac:dyDescent="0.3">
      <c r="A362" s="1006" t="s">
        <v>628</v>
      </c>
      <c r="B362" s="1007"/>
      <c r="C362" s="454"/>
      <c r="D362" s="365">
        <f>SUM(D359:D361)</f>
        <v>730019.21680000005</v>
      </c>
      <c r="E362" s="188"/>
      <c r="F362" s="188"/>
      <c r="G362" s="366">
        <f>SUM(G359:G361)</f>
        <v>752315.55999999994</v>
      </c>
      <c r="H362" s="192"/>
      <c r="I362" s="494"/>
      <c r="J362" s="365">
        <f>SUM(J359:J361)</f>
        <v>730019.22</v>
      </c>
      <c r="K362" s="365">
        <f>SUM(K359:K361)</f>
        <v>730019.21300800005</v>
      </c>
      <c r="L362" s="367"/>
      <c r="M362" s="365"/>
      <c r="N362" s="368">
        <f>AVERAGE(N359:N361)</f>
        <v>1</v>
      </c>
      <c r="O362" s="455"/>
      <c r="P362" s="176"/>
      <c r="Q362" s="177"/>
      <c r="R362" s="168"/>
      <c r="S362" s="19"/>
      <c r="T362" s="2"/>
      <c r="U362" s="2"/>
      <c r="V362" s="2"/>
    </row>
    <row r="363" spans="1:22" s="6" customFormat="1" ht="33" x14ac:dyDescent="0.25">
      <c r="A363" s="1008">
        <v>11</v>
      </c>
      <c r="B363" s="1004" t="s">
        <v>102</v>
      </c>
      <c r="C363" s="372" t="s">
        <v>501</v>
      </c>
      <c r="D363" s="372">
        <v>9543000</v>
      </c>
      <c r="E363" s="432" t="s">
        <v>1280</v>
      </c>
      <c r="F363" s="303" t="s">
        <v>670</v>
      </c>
      <c r="G363" s="463">
        <v>8459779.9000000004</v>
      </c>
      <c r="H363" s="171">
        <v>42855</v>
      </c>
      <c r="I363" s="375"/>
      <c r="J363" s="221"/>
      <c r="K363" s="221"/>
      <c r="L363" s="223"/>
      <c r="M363" s="221"/>
      <c r="N363" s="376">
        <v>0</v>
      </c>
      <c r="O363" s="453"/>
      <c r="P363" s="176">
        <v>2017</v>
      </c>
      <c r="Q363" s="177"/>
      <c r="R363" s="132"/>
      <c r="S363" s="18"/>
      <c r="T363" s="9"/>
      <c r="U363" s="9"/>
      <c r="V363" s="9"/>
    </row>
    <row r="364" spans="1:22" s="6" customFormat="1" ht="49.5" x14ac:dyDescent="0.25">
      <c r="A364" s="1009"/>
      <c r="B364" s="1005"/>
      <c r="C364" s="294" t="s">
        <v>37</v>
      </c>
      <c r="D364" s="184">
        <f>59044.7*1.18</f>
        <v>69672.745999999999</v>
      </c>
      <c r="E364" s="181" t="s">
        <v>547</v>
      </c>
      <c r="F364" s="181" t="s">
        <v>548</v>
      </c>
      <c r="G364" s="506">
        <f>D364+D366-G366</f>
        <v>69672.746000000014</v>
      </c>
      <c r="H364" s="183">
        <v>42381</v>
      </c>
      <c r="I364" s="183">
        <v>42381</v>
      </c>
      <c r="J364" s="184">
        <v>69672.75</v>
      </c>
      <c r="K364" s="184">
        <v>69672.745600000009</v>
      </c>
      <c r="L364" s="183"/>
      <c r="M364" s="184">
        <f t="shared" ref="M364" si="11">J364-D364</f>
        <v>4.0000000008149073E-3</v>
      </c>
      <c r="N364" s="202"/>
      <c r="O364" s="283"/>
      <c r="P364" s="176"/>
      <c r="Q364" s="177"/>
      <c r="R364" s="132"/>
      <c r="S364" s="18"/>
      <c r="T364" s="9"/>
      <c r="U364" s="9"/>
      <c r="V364" s="9"/>
    </row>
    <row r="365" spans="1:22" s="8" customFormat="1" ht="66" outlineLevel="1" x14ac:dyDescent="0.25">
      <c r="A365" s="1009"/>
      <c r="B365" s="1005"/>
      <c r="C365" s="163" t="s">
        <v>508</v>
      </c>
      <c r="D365" s="163">
        <v>1761601.94</v>
      </c>
      <c r="E365" s="163" t="s">
        <v>895</v>
      </c>
      <c r="F365" s="163" t="s">
        <v>750</v>
      </c>
      <c r="G365" s="354">
        <v>7576961.7199999997</v>
      </c>
      <c r="H365" s="210">
        <v>42576</v>
      </c>
      <c r="I365" s="210">
        <v>42664</v>
      </c>
      <c r="J365" s="163">
        <v>1761601.94</v>
      </c>
      <c r="K365" s="163">
        <v>1761601.94</v>
      </c>
      <c r="L365" s="210"/>
      <c r="M365" s="163"/>
      <c r="N365" s="213">
        <v>1</v>
      </c>
      <c r="O365" s="491"/>
      <c r="P365" s="176"/>
      <c r="Q365" s="177" t="s">
        <v>1126</v>
      </c>
      <c r="R365" s="132"/>
      <c r="S365" s="18"/>
      <c r="T365" s="2"/>
      <c r="U365" s="2"/>
      <c r="V365" s="2"/>
    </row>
    <row r="366" spans="1:22" s="8" customFormat="1" ht="49.5" outlineLevel="1" x14ac:dyDescent="0.25">
      <c r="A366" s="1009"/>
      <c r="B366" s="1005"/>
      <c r="C366" s="294" t="s">
        <v>37</v>
      </c>
      <c r="D366" s="180">
        <f>62219.63*1.18</f>
        <v>73419.16339999999</v>
      </c>
      <c r="E366" s="181" t="s">
        <v>557</v>
      </c>
      <c r="F366" s="181" t="s">
        <v>548</v>
      </c>
      <c r="G366" s="182">
        <f>62219.63*1.18</f>
        <v>73419.16339999999</v>
      </c>
      <c r="H366" s="183">
        <v>42424</v>
      </c>
      <c r="I366" s="183">
        <v>42415</v>
      </c>
      <c r="J366" s="184">
        <v>73419.16</v>
      </c>
      <c r="K366" s="184">
        <v>73419.16</v>
      </c>
      <c r="L366" s="183"/>
      <c r="M366" s="184">
        <f t="shared" ref="M366" si="12">J366-D366</f>
        <v>-3.3999999868683517E-3</v>
      </c>
      <c r="N366" s="202"/>
      <c r="O366" s="283" t="s">
        <v>701</v>
      </c>
      <c r="P366" s="176"/>
      <c r="Q366" s="177"/>
      <c r="R366" s="168"/>
      <c r="S366" s="19"/>
      <c r="T366" s="2"/>
      <c r="U366" s="2"/>
      <c r="V366" s="2"/>
    </row>
    <row r="367" spans="1:22" s="8" customFormat="1" ht="17.25" outlineLevel="1" thickBot="1" x14ac:dyDescent="0.3">
      <c r="A367" s="1006" t="s">
        <v>628</v>
      </c>
      <c r="B367" s="1007"/>
      <c r="C367" s="454"/>
      <c r="D367" s="365">
        <f>SUM(D363:D366)</f>
        <v>11447693.849399999</v>
      </c>
      <c r="E367" s="239"/>
      <c r="F367" s="239"/>
      <c r="G367" s="366">
        <f>SUM(G363:G366)</f>
        <v>16179833.5294</v>
      </c>
      <c r="H367" s="309"/>
      <c r="I367" s="321"/>
      <c r="J367" s="365">
        <f>SUM(J363:J366)</f>
        <v>1904693.8499999999</v>
      </c>
      <c r="K367" s="365">
        <f>SUM(K363:K366)</f>
        <v>1904693.8455999999</v>
      </c>
      <c r="L367" s="367"/>
      <c r="M367" s="365"/>
      <c r="N367" s="368">
        <f>AVERAGE(N363:N366)</f>
        <v>0.5</v>
      </c>
      <c r="O367" s="455"/>
      <c r="P367" s="176"/>
      <c r="Q367" s="177"/>
      <c r="R367" s="132"/>
      <c r="S367" s="18"/>
      <c r="T367" s="2"/>
      <c r="U367" s="2"/>
      <c r="V367" s="2"/>
    </row>
    <row r="368" spans="1:22" s="6" customFormat="1" ht="33" x14ac:dyDescent="0.25">
      <c r="A368" s="1008">
        <v>12</v>
      </c>
      <c r="B368" s="1004" t="s">
        <v>125</v>
      </c>
      <c r="C368" s="162" t="s">
        <v>500</v>
      </c>
      <c r="D368" s="162">
        <v>4855333.91</v>
      </c>
      <c r="E368" s="197" t="s">
        <v>963</v>
      </c>
      <c r="F368" s="197" t="s">
        <v>799</v>
      </c>
      <c r="G368" s="353"/>
      <c r="H368" s="161">
        <v>42626</v>
      </c>
      <c r="I368" s="161">
        <v>42625</v>
      </c>
      <c r="J368" s="162">
        <v>4855333.91</v>
      </c>
      <c r="K368" s="162">
        <v>4855333.91</v>
      </c>
      <c r="L368" s="161"/>
      <c r="M368" s="162"/>
      <c r="N368" s="200">
        <v>1</v>
      </c>
      <c r="O368" s="453"/>
      <c r="P368" s="176"/>
      <c r="Q368" s="177"/>
      <c r="R368" s="132"/>
      <c r="S368" s="18"/>
      <c r="T368" s="9"/>
      <c r="U368" s="9"/>
      <c r="V368" s="9"/>
    </row>
    <row r="369" spans="1:22" s="8" customFormat="1" ht="49.5" outlineLevel="1" x14ac:dyDescent="0.25">
      <c r="A369" s="1009"/>
      <c r="B369" s="1005"/>
      <c r="C369" s="294" t="s">
        <v>37</v>
      </c>
      <c r="D369" s="180">
        <f>97068.89*1.18</f>
        <v>114541.29019999999</v>
      </c>
      <c r="E369" s="181" t="s">
        <v>555</v>
      </c>
      <c r="F369" s="181" t="s">
        <v>554</v>
      </c>
      <c r="G369" s="182">
        <f>97068.89*1.18</f>
        <v>114541.29019999999</v>
      </c>
      <c r="H369" s="183">
        <v>42429</v>
      </c>
      <c r="I369" s="183">
        <v>42429</v>
      </c>
      <c r="J369" s="184">
        <v>114541.28999999998</v>
      </c>
      <c r="K369" s="184">
        <v>114541.29000000001</v>
      </c>
      <c r="L369" s="183"/>
      <c r="M369" s="184">
        <f t="shared" ref="M369" si="13">J369-D369</f>
        <v>-2.0000000949949026E-4</v>
      </c>
      <c r="N369" s="202"/>
      <c r="O369" s="283" t="s">
        <v>695</v>
      </c>
      <c r="P369" s="176"/>
      <c r="Q369" s="177"/>
      <c r="R369" s="168"/>
      <c r="S369" s="19"/>
      <c r="T369" s="2"/>
      <c r="U369" s="2"/>
      <c r="V369" s="2"/>
    </row>
    <row r="370" spans="1:22" s="8" customFormat="1" ht="17.25" outlineLevel="1" thickBot="1" x14ac:dyDescent="0.3">
      <c r="A370" s="1006" t="s">
        <v>628</v>
      </c>
      <c r="B370" s="1007"/>
      <c r="C370" s="454"/>
      <c r="D370" s="365">
        <f>SUM(D368:D369)</f>
        <v>4969875.2001999998</v>
      </c>
      <c r="E370" s="239"/>
      <c r="F370" s="239"/>
      <c r="G370" s="366">
        <f>SUM(G368:G369)</f>
        <v>114541.29019999999</v>
      </c>
      <c r="H370" s="309"/>
      <c r="I370" s="321"/>
      <c r="J370" s="365">
        <f>SUM(J368:J369)</f>
        <v>4969875.2</v>
      </c>
      <c r="K370" s="365">
        <f>SUM(K368:K369)</f>
        <v>4969875.2</v>
      </c>
      <c r="L370" s="367"/>
      <c r="M370" s="365"/>
      <c r="N370" s="368">
        <f>AVERAGE(N368:N369)</f>
        <v>1</v>
      </c>
      <c r="O370" s="455"/>
      <c r="P370" s="176"/>
      <c r="Q370" s="177"/>
      <c r="R370" s="132"/>
      <c r="S370" s="18"/>
      <c r="T370" s="2"/>
      <c r="U370" s="2"/>
      <c r="V370" s="2"/>
    </row>
    <row r="371" spans="1:22" s="8" customFormat="1" ht="49.5" outlineLevel="1" x14ac:dyDescent="0.25">
      <c r="A371" s="507"/>
      <c r="B371" s="508" t="s">
        <v>126</v>
      </c>
      <c r="C371" s="294" t="s">
        <v>37</v>
      </c>
      <c r="D371" s="180">
        <f>91145.65*1.18</f>
        <v>107551.86699999998</v>
      </c>
      <c r="E371" s="181" t="s">
        <v>555</v>
      </c>
      <c r="F371" s="181" t="s">
        <v>554</v>
      </c>
      <c r="G371" s="182">
        <f>91145.65*1.18</f>
        <v>107551.86699999998</v>
      </c>
      <c r="H371" s="183">
        <v>42429</v>
      </c>
      <c r="I371" s="183">
        <v>42429</v>
      </c>
      <c r="J371" s="184">
        <v>107551.87</v>
      </c>
      <c r="K371" s="184">
        <v>107551.87</v>
      </c>
      <c r="L371" s="183"/>
      <c r="M371" s="184">
        <f t="shared" ref="M371" si="14">J371-D371</f>
        <v>3.0000000115251169E-3</v>
      </c>
      <c r="N371" s="202"/>
      <c r="O371" s="283" t="s">
        <v>696</v>
      </c>
      <c r="P371" s="176"/>
      <c r="Q371" s="177"/>
      <c r="R371" s="132"/>
      <c r="S371" s="18"/>
      <c r="T371" s="2"/>
      <c r="U371" s="2"/>
      <c r="V371" s="2"/>
    </row>
    <row r="372" spans="1:22" s="8" customFormat="1" ht="17.25" outlineLevel="1" thickBot="1" x14ac:dyDescent="0.3">
      <c r="A372" s="1006" t="s">
        <v>628</v>
      </c>
      <c r="B372" s="1007"/>
      <c r="C372" s="454"/>
      <c r="D372" s="365">
        <f>SUM(D371:D371)</f>
        <v>107551.86699999998</v>
      </c>
      <c r="E372" s="239"/>
      <c r="F372" s="239"/>
      <c r="G372" s="366">
        <f>SUM(G371:G371)</f>
        <v>107551.86699999998</v>
      </c>
      <c r="H372" s="309"/>
      <c r="I372" s="321"/>
      <c r="J372" s="365">
        <f>SUM(J371:J371)</f>
        <v>107551.87</v>
      </c>
      <c r="K372" s="365">
        <f>SUM(K371:K371)</f>
        <v>107551.87</v>
      </c>
      <c r="L372" s="367"/>
      <c r="M372" s="365"/>
      <c r="N372" s="368" t="e">
        <f>AVERAGE(N371:N371)</f>
        <v>#DIV/0!</v>
      </c>
      <c r="O372" s="455"/>
      <c r="P372" s="176"/>
      <c r="Q372" s="177"/>
      <c r="R372" s="132"/>
      <c r="S372" s="18"/>
      <c r="T372" s="2"/>
      <c r="U372" s="2"/>
      <c r="V372" s="2"/>
    </row>
    <row r="373" spans="1:22" s="6" customFormat="1" ht="66" x14ac:dyDescent="0.25">
      <c r="A373" s="1008">
        <v>14</v>
      </c>
      <c r="B373" s="1004" t="s">
        <v>103</v>
      </c>
      <c r="C373" s="162" t="s">
        <v>500</v>
      </c>
      <c r="D373" s="162">
        <v>5129290.08</v>
      </c>
      <c r="E373" s="161" t="s">
        <v>599</v>
      </c>
      <c r="F373" s="161" t="s">
        <v>600</v>
      </c>
      <c r="G373" s="353">
        <v>4939426.9000000004</v>
      </c>
      <c r="H373" s="161">
        <v>42391</v>
      </c>
      <c r="I373" s="161">
        <v>42410</v>
      </c>
      <c r="J373" s="162">
        <v>5129290.080000001</v>
      </c>
      <c r="K373" s="162">
        <v>5129290.08</v>
      </c>
      <c r="L373" s="161"/>
      <c r="M373" s="316">
        <f t="shared" ref="M373:M374" si="15">J373-D373</f>
        <v>0</v>
      </c>
      <c r="N373" s="200">
        <v>1</v>
      </c>
      <c r="O373" s="456"/>
      <c r="P373" s="176"/>
      <c r="Q373" s="177"/>
      <c r="R373" s="132"/>
      <c r="S373" s="18"/>
      <c r="T373" s="9"/>
      <c r="U373" s="9"/>
      <c r="V373" s="9"/>
    </row>
    <row r="374" spans="1:22" s="8" customFormat="1" ht="49.5" outlineLevel="1" x14ac:dyDescent="0.25">
      <c r="A374" s="1009"/>
      <c r="B374" s="1005"/>
      <c r="C374" s="294" t="s">
        <v>37</v>
      </c>
      <c r="D374" s="180">
        <f>82125.57*1.18</f>
        <v>96908.172600000005</v>
      </c>
      <c r="E374" s="181" t="s">
        <v>547</v>
      </c>
      <c r="F374" s="181" t="s">
        <v>548</v>
      </c>
      <c r="G374" s="182">
        <v>96672.44</v>
      </c>
      <c r="H374" s="183">
        <v>42381</v>
      </c>
      <c r="I374" s="183">
        <v>42381</v>
      </c>
      <c r="J374" s="184">
        <v>96908.17</v>
      </c>
      <c r="K374" s="184">
        <v>96908.169888000004</v>
      </c>
      <c r="L374" s="183"/>
      <c r="M374" s="184">
        <f t="shared" si="15"/>
        <v>-2.6000000070780516E-3</v>
      </c>
      <c r="N374" s="202"/>
      <c r="O374" s="283" t="s">
        <v>680</v>
      </c>
      <c r="P374" s="176"/>
      <c r="Q374" s="446"/>
      <c r="R374" s="496"/>
      <c r="S374" s="2"/>
      <c r="T374" s="2"/>
      <c r="U374" s="2"/>
      <c r="V374" s="2"/>
    </row>
    <row r="375" spans="1:22" s="8" customFormat="1" ht="17.25" outlineLevel="1" thickBot="1" x14ac:dyDescent="0.3">
      <c r="A375" s="1006" t="s">
        <v>628</v>
      </c>
      <c r="B375" s="1007"/>
      <c r="C375" s="454"/>
      <c r="D375" s="365">
        <f>SUM(D373:D374)</f>
        <v>5226198.2526000002</v>
      </c>
      <c r="E375" s="188"/>
      <c r="F375" s="188"/>
      <c r="G375" s="366">
        <f>SUM(G373:G374)</f>
        <v>5036099.3400000008</v>
      </c>
      <c r="H375" s="192"/>
      <c r="I375" s="190"/>
      <c r="J375" s="365">
        <f>SUM(J373:J374)</f>
        <v>5226198.2500000009</v>
      </c>
      <c r="K375" s="365">
        <f>SUM(K373:K374)</f>
        <v>5226198.2498880001</v>
      </c>
      <c r="L375" s="367"/>
      <c r="M375" s="365"/>
      <c r="N375" s="368">
        <f>AVERAGE(N373:N374)</f>
        <v>1</v>
      </c>
      <c r="O375" s="455"/>
      <c r="P375" s="176"/>
      <c r="Q375" s="177"/>
      <c r="R375" s="168"/>
      <c r="S375" s="19"/>
      <c r="T375" s="2"/>
      <c r="U375" s="2"/>
      <c r="V375" s="2"/>
    </row>
    <row r="376" spans="1:22" s="6" customFormat="1" ht="33" x14ac:dyDescent="0.25">
      <c r="A376" s="1008">
        <v>15</v>
      </c>
      <c r="B376" s="1004" t="s">
        <v>104</v>
      </c>
      <c r="C376" s="162" t="s">
        <v>500</v>
      </c>
      <c r="D376" s="162">
        <v>5649883</v>
      </c>
      <c r="E376" s="197" t="s">
        <v>745</v>
      </c>
      <c r="F376" s="197" t="s">
        <v>746</v>
      </c>
      <c r="G376" s="353">
        <v>6317421.46</v>
      </c>
      <c r="H376" s="161">
        <v>42470</v>
      </c>
      <c r="I376" s="161">
        <v>42522</v>
      </c>
      <c r="J376" s="162">
        <v>5649883</v>
      </c>
      <c r="K376" s="162">
        <v>5649883</v>
      </c>
      <c r="L376" s="161"/>
      <c r="M376" s="316">
        <f t="shared" ref="M376:M377" si="16">J376-D376</f>
        <v>0</v>
      </c>
      <c r="N376" s="200">
        <v>1</v>
      </c>
      <c r="O376" s="456"/>
      <c r="P376" s="176"/>
      <c r="Q376" s="177"/>
      <c r="R376" s="132"/>
      <c r="S376" s="18"/>
      <c r="T376" s="9"/>
      <c r="U376" s="9"/>
      <c r="V376" s="9"/>
    </row>
    <row r="377" spans="1:22" s="8" customFormat="1" ht="49.5" outlineLevel="1" x14ac:dyDescent="0.25">
      <c r="A377" s="1009"/>
      <c r="B377" s="1005"/>
      <c r="C377" s="294" t="s">
        <v>37</v>
      </c>
      <c r="D377" s="180">
        <f>85922.87*1.18</f>
        <v>101388.98659999999</v>
      </c>
      <c r="E377" s="181" t="s">
        <v>547</v>
      </c>
      <c r="F377" s="181" t="s">
        <v>548</v>
      </c>
      <c r="G377" s="182">
        <v>101142.35</v>
      </c>
      <c r="H377" s="183">
        <v>42381</v>
      </c>
      <c r="I377" s="183">
        <v>42381</v>
      </c>
      <c r="J377" s="184">
        <v>101388.99</v>
      </c>
      <c r="K377" s="184">
        <v>101388.98673599999</v>
      </c>
      <c r="L377" s="183"/>
      <c r="M377" s="184">
        <f t="shared" si="16"/>
        <v>3.4000000159721822E-3</v>
      </c>
      <c r="N377" s="202"/>
      <c r="O377" s="283" t="s">
        <v>680</v>
      </c>
      <c r="P377" s="176"/>
      <c r="Q377" s="177"/>
      <c r="R377" s="132"/>
      <c r="S377" s="18"/>
      <c r="T377" s="2"/>
      <c r="U377" s="2"/>
      <c r="V377" s="2"/>
    </row>
    <row r="378" spans="1:22" s="8" customFormat="1" ht="17.25" outlineLevel="1" thickBot="1" x14ac:dyDescent="0.3">
      <c r="A378" s="1006" t="s">
        <v>628</v>
      </c>
      <c r="B378" s="1007"/>
      <c r="C378" s="454"/>
      <c r="D378" s="365">
        <f>SUM(D376:D377)</f>
        <v>5751271.9866000004</v>
      </c>
      <c r="E378" s="239"/>
      <c r="F378" s="239"/>
      <c r="G378" s="366">
        <f>SUM(G376:G377)</f>
        <v>6418563.8099999996</v>
      </c>
      <c r="H378" s="309"/>
      <c r="I378" s="494"/>
      <c r="J378" s="365">
        <f>SUM(J376:J377)</f>
        <v>5751271.9900000002</v>
      </c>
      <c r="K378" s="365">
        <f>SUM(K376:K377)</f>
        <v>5751271.9867359996</v>
      </c>
      <c r="L378" s="367"/>
      <c r="M378" s="365"/>
      <c r="N378" s="368">
        <f>AVERAGE(N376:N377)</f>
        <v>1</v>
      </c>
      <c r="O378" s="455"/>
      <c r="P378" s="176"/>
      <c r="Q378" s="177"/>
      <c r="R378" s="132"/>
      <c r="S378" s="18"/>
      <c r="T378" s="2"/>
      <c r="U378" s="2"/>
      <c r="V378" s="2"/>
    </row>
    <row r="379" spans="1:22" s="6" customFormat="1" ht="33" x14ac:dyDescent="0.25">
      <c r="A379" s="1008">
        <v>16</v>
      </c>
      <c r="B379" s="1004" t="s">
        <v>105</v>
      </c>
      <c r="C379" s="162" t="s">
        <v>500</v>
      </c>
      <c r="D379" s="162">
        <v>6281488.9699999997</v>
      </c>
      <c r="E379" s="197" t="s">
        <v>749</v>
      </c>
      <c r="F379" s="509" t="s">
        <v>750</v>
      </c>
      <c r="G379" s="510">
        <v>6508509.0599999996</v>
      </c>
      <c r="H379" s="206">
        <v>42500</v>
      </c>
      <c r="I379" s="161">
        <v>42500</v>
      </c>
      <c r="J379" s="162">
        <v>6281488.9699999997</v>
      </c>
      <c r="K379" s="162">
        <v>6281488.9700000007</v>
      </c>
      <c r="L379" s="161"/>
      <c r="M379" s="316">
        <f t="shared" ref="M379" si="17">J379-D379</f>
        <v>0</v>
      </c>
      <c r="N379" s="200">
        <v>1</v>
      </c>
      <c r="O379" s="456"/>
      <c r="P379" s="176"/>
      <c r="Q379" s="177"/>
      <c r="R379" s="132"/>
      <c r="S379" s="18"/>
      <c r="T379" s="9"/>
      <c r="U379" s="9"/>
      <c r="V379" s="9"/>
    </row>
    <row r="380" spans="1:22" s="8" customFormat="1" ht="31.5" customHeight="1" outlineLevel="1" x14ac:dyDescent="0.25">
      <c r="A380" s="1009"/>
      <c r="B380" s="1005"/>
      <c r="C380" s="303" t="s">
        <v>501</v>
      </c>
      <c r="D380" s="303">
        <v>7759925.4400000004</v>
      </c>
      <c r="E380" s="373" t="s">
        <v>1190</v>
      </c>
      <c r="F380" s="432" t="s">
        <v>1189</v>
      </c>
      <c r="G380" s="303">
        <v>7759925.4400000004</v>
      </c>
      <c r="H380" s="171">
        <v>42916</v>
      </c>
      <c r="I380" s="172"/>
      <c r="J380" s="173"/>
      <c r="K380" s="173"/>
      <c r="L380" s="171"/>
      <c r="M380" s="173"/>
      <c r="N380" s="460">
        <v>0</v>
      </c>
      <c r="O380" s="300"/>
      <c r="P380" s="176">
        <v>2017</v>
      </c>
      <c r="Q380" s="177"/>
      <c r="R380" s="132"/>
      <c r="S380" s="18"/>
      <c r="T380" s="2"/>
      <c r="U380" s="2"/>
      <c r="V380" s="2"/>
    </row>
    <row r="381" spans="1:22" s="8" customFormat="1" ht="49.5" outlineLevel="1" x14ac:dyDescent="0.25">
      <c r="A381" s="1009"/>
      <c r="B381" s="1005"/>
      <c r="C381" s="294" t="s">
        <v>37</v>
      </c>
      <c r="D381" s="180">
        <f>172879.4*1.18</f>
        <v>203997.69199999998</v>
      </c>
      <c r="E381" s="181" t="s">
        <v>547</v>
      </c>
      <c r="F381" s="493" t="s">
        <v>548</v>
      </c>
      <c r="G381" s="182">
        <v>203501.45</v>
      </c>
      <c r="H381" s="183">
        <v>42381</v>
      </c>
      <c r="I381" s="183">
        <v>42381</v>
      </c>
      <c r="J381" s="184">
        <v>203997.69</v>
      </c>
      <c r="K381" s="184">
        <v>203997.68841599999</v>
      </c>
      <c r="L381" s="183"/>
      <c r="M381" s="184">
        <f t="shared" ref="M381" si="18">J381-D381</f>
        <v>-1.9999999785795808E-3</v>
      </c>
      <c r="N381" s="202"/>
      <c r="O381" s="283" t="s">
        <v>682</v>
      </c>
      <c r="P381" s="176"/>
      <c r="Q381" s="177"/>
      <c r="R381" s="132"/>
      <c r="S381" s="18"/>
      <c r="T381" s="2"/>
      <c r="U381" s="2"/>
      <c r="V381" s="2"/>
    </row>
    <row r="382" spans="1:22" s="8" customFormat="1" ht="17.25" outlineLevel="1" thickBot="1" x14ac:dyDescent="0.3">
      <c r="A382" s="1006" t="s">
        <v>628</v>
      </c>
      <c r="B382" s="1007"/>
      <c r="C382" s="454"/>
      <c r="D382" s="365">
        <f>SUM(D379:D381)</f>
        <v>14245412.102</v>
      </c>
      <c r="E382" s="188"/>
      <c r="F382" s="188"/>
      <c r="G382" s="366">
        <f>SUM(G379:G381)</f>
        <v>14471935.949999999</v>
      </c>
      <c r="H382" s="192"/>
      <c r="I382" s="190"/>
      <c r="J382" s="365">
        <f>SUM(J379:J381)</f>
        <v>6485486.6600000001</v>
      </c>
      <c r="K382" s="365">
        <f>SUM(K379:K381)</f>
        <v>6485486.6584160011</v>
      </c>
      <c r="L382" s="367"/>
      <c r="M382" s="365"/>
      <c r="N382" s="368">
        <f>AVERAGE(N379:N381)</f>
        <v>0.5</v>
      </c>
      <c r="O382" s="455"/>
      <c r="P382" s="176"/>
      <c r="Q382" s="177"/>
      <c r="R382" s="168"/>
      <c r="S382" s="19"/>
      <c r="T382" s="2"/>
      <c r="U382" s="2"/>
      <c r="V382" s="2"/>
    </row>
    <row r="383" spans="1:22" s="6" customFormat="1" ht="33" x14ac:dyDescent="0.25">
      <c r="A383" s="1008">
        <v>17</v>
      </c>
      <c r="B383" s="1004" t="s">
        <v>106</v>
      </c>
      <c r="C383" s="372" t="s">
        <v>501</v>
      </c>
      <c r="D383" s="372">
        <v>8269000</v>
      </c>
      <c r="E383" s="432" t="s">
        <v>1280</v>
      </c>
      <c r="F383" s="303" t="s">
        <v>670</v>
      </c>
      <c r="G383" s="463">
        <v>6369315.5</v>
      </c>
      <c r="H383" s="171">
        <v>42855</v>
      </c>
      <c r="I383" s="375"/>
      <c r="J383" s="221"/>
      <c r="K383" s="221"/>
      <c r="L383" s="223"/>
      <c r="M383" s="221"/>
      <c r="N383" s="376">
        <v>0</v>
      </c>
      <c r="O383" s="453"/>
      <c r="P383" s="176">
        <v>2017</v>
      </c>
      <c r="Q383" s="177"/>
      <c r="R383" s="132"/>
      <c r="S383" s="18"/>
      <c r="T383" s="9"/>
      <c r="U383" s="9"/>
      <c r="V383" s="9"/>
    </row>
    <row r="384" spans="1:22" s="8" customFormat="1" ht="49.5" outlineLevel="1" x14ac:dyDescent="0.25">
      <c r="A384" s="1009"/>
      <c r="B384" s="1005"/>
      <c r="C384" s="294" t="s">
        <v>37</v>
      </c>
      <c r="D384" s="180">
        <f>76479.12*1.18</f>
        <v>90245.361599999989</v>
      </c>
      <c r="E384" s="181" t="s">
        <v>547</v>
      </c>
      <c r="F384" s="181" t="s">
        <v>548</v>
      </c>
      <c r="G384" s="182">
        <v>90025.83</v>
      </c>
      <c r="H384" s="183">
        <v>42381</v>
      </c>
      <c r="I384" s="183">
        <v>42381</v>
      </c>
      <c r="J384" s="184">
        <v>90245.36</v>
      </c>
      <c r="K384" s="184">
        <v>90245.361103999996</v>
      </c>
      <c r="L384" s="183"/>
      <c r="M384" s="184">
        <f t="shared" ref="M384" si="19">J384-D384</f>
        <v>-1.5999999886844307E-3</v>
      </c>
      <c r="N384" s="202"/>
      <c r="O384" s="283" t="s">
        <v>683</v>
      </c>
      <c r="P384" s="176"/>
      <c r="Q384" s="177"/>
      <c r="R384" s="132"/>
      <c r="S384" s="18"/>
      <c r="T384" s="2"/>
      <c r="U384" s="2"/>
      <c r="V384" s="2"/>
    </row>
    <row r="385" spans="1:22" s="8" customFormat="1" ht="17.25" outlineLevel="1" thickBot="1" x14ac:dyDescent="0.3">
      <c r="A385" s="1006" t="s">
        <v>628</v>
      </c>
      <c r="B385" s="1007"/>
      <c r="C385" s="454"/>
      <c r="D385" s="365">
        <f>SUM(D383:D384)</f>
        <v>8359245.3616000004</v>
      </c>
      <c r="E385" s="188"/>
      <c r="F385" s="188"/>
      <c r="G385" s="366">
        <f>SUM(G383:G384)</f>
        <v>6459341.3300000001</v>
      </c>
      <c r="H385" s="192"/>
      <c r="I385" s="494"/>
      <c r="J385" s="365">
        <f>SUM(J383:J384)</f>
        <v>90245.36</v>
      </c>
      <c r="K385" s="365">
        <f>SUM(K383:K384)</f>
        <v>90245.361103999996</v>
      </c>
      <c r="L385" s="367"/>
      <c r="M385" s="365"/>
      <c r="N385" s="368">
        <f>AVERAGE(N383:N384)</f>
        <v>0</v>
      </c>
      <c r="O385" s="455"/>
      <c r="P385" s="176"/>
      <c r="Q385" s="177"/>
      <c r="R385" s="168"/>
      <c r="S385" s="19"/>
      <c r="T385" s="2"/>
      <c r="U385" s="2"/>
      <c r="V385" s="2"/>
    </row>
    <row r="386" spans="1:22" s="6" customFormat="1" ht="33" x14ac:dyDescent="0.25">
      <c r="A386" s="1008">
        <v>18</v>
      </c>
      <c r="B386" s="1004" t="s">
        <v>107</v>
      </c>
      <c r="C386" s="372" t="s">
        <v>501</v>
      </c>
      <c r="D386" s="372">
        <v>8655000</v>
      </c>
      <c r="E386" s="432" t="s">
        <v>1280</v>
      </c>
      <c r="F386" s="303" t="s">
        <v>670</v>
      </c>
      <c r="G386" s="463">
        <v>7965545.1600000001</v>
      </c>
      <c r="H386" s="171">
        <v>42855</v>
      </c>
      <c r="I386" s="375"/>
      <c r="J386" s="221"/>
      <c r="K386" s="221"/>
      <c r="L386" s="223"/>
      <c r="M386" s="221"/>
      <c r="N386" s="376">
        <v>0</v>
      </c>
      <c r="O386" s="453"/>
      <c r="P386" s="176">
        <v>2017</v>
      </c>
      <c r="Q386" s="177"/>
      <c r="R386" s="132"/>
      <c r="S386" s="18"/>
      <c r="T386" s="9"/>
      <c r="U386" s="9"/>
      <c r="V386" s="9"/>
    </row>
    <row r="387" spans="1:22" s="8" customFormat="1" ht="49.5" outlineLevel="1" x14ac:dyDescent="0.25">
      <c r="A387" s="1009"/>
      <c r="B387" s="1005"/>
      <c r="C387" s="294" t="s">
        <v>37</v>
      </c>
      <c r="D387" s="180">
        <f>76250.51*1.18</f>
        <v>89975.601799999989</v>
      </c>
      <c r="E387" s="181" t="s">
        <v>547</v>
      </c>
      <c r="F387" s="181" t="s">
        <v>548</v>
      </c>
      <c r="G387" s="182">
        <v>89756.73</v>
      </c>
      <c r="H387" s="183">
        <v>42381</v>
      </c>
      <c r="I387" s="183">
        <v>42381</v>
      </c>
      <c r="J387" s="184">
        <v>89975.6</v>
      </c>
      <c r="K387" s="184">
        <v>89975.601840000003</v>
      </c>
      <c r="L387" s="183"/>
      <c r="M387" s="184">
        <f t="shared" ref="M387" si="20">J387-D387</f>
        <v>-1.7999999836320058E-3</v>
      </c>
      <c r="N387" s="202"/>
      <c r="O387" s="283" t="s">
        <v>684</v>
      </c>
      <c r="P387" s="176"/>
      <c r="Q387" s="177"/>
      <c r="R387" s="132"/>
      <c r="S387" s="18"/>
      <c r="T387" s="2"/>
      <c r="U387" s="2"/>
      <c r="V387" s="2"/>
    </row>
    <row r="388" spans="1:22" s="8" customFormat="1" ht="17.25" outlineLevel="1" thickBot="1" x14ac:dyDescent="0.3">
      <c r="A388" s="1006" t="s">
        <v>628</v>
      </c>
      <c r="B388" s="1007"/>
      <c r="C388" s="454"/>
      <c r="D388" s="365">
        <f>SUM(D386:D387)</f>
        <v>8744975.6018000003</v>
      </c>
      <c r="E388" s="188"/>
      <c r="F388" s="188"/>
      <c r="G388" s="366">
        <f>SUM(G386:G387)</f>
        <v>8055301.8900000006</v>
      </c>
      <c r="H388" s="192"/>
      <c r="I388" s="190"/>
      <c r="J388" s="365">
        <f>SUM(J386:J387)</f>
        <v>89975.6</v>
      </c>
      <c r="K388" s="365">
        <f>SUM(K386:K387)</f>
        <v>89975.601840000003</v>
      </c>
      <c r="L388" s="367"/>
      <c r="M388" s="365"/>
      <c r="N388" s="368">
        <f>AVERAGE(N386:N387)</f>
        <v>0</v>
      </c>
      <c r="O388" s="455"/>
      <c r="P388" s="176"/>
      <c r="Q388" s="177"/>
      <c r="R388" s="168"/>
      <c r="S388" s="19"/>
      <c r="T388" s="2"/>
      <c r="U388" s="2"/>
      <c r="V388" s="2"/>
    </row>
    <row r="389" spans="1:22" s="6" customFormat="1" ht="33" x14ac:dyDescent="0.25">
      <c r="A389" s="1008">
        <v>19</v>
      </c>
      <c r="B389" s="1004" t="s">
        <v>108</v>
      </c>
      <c r="C389" s="372" t="s">
        <v>501</v>
      </c>
      <c r="D389" s="372">
        <v>8911000</v>
      </c>
      <c r="E389" s="432" t="s">
        <v>1280</v>
      </c>
      <c r="F389" s="303" t="s">
        <v>670</v>
      </c>
      <c r="G389" s="463">
        <v>6913431.2000000002</v>
      </c>
      <c r="H389" s="171">
        <v>42855</v>
      </c>
      <c r="I389" s="375"/>
      <c r="J389" s="221"/>
      <c r="K389" s="221"/>
      <c r="L389" s="223"/>
      <c r="M389" s="221"/>
      <c r="N389" s="376">
        <v>0</v>
      </c>
      <c r="O389" s="453"/>
      <c r="P389" s="176">
        <v>2017</v>
      </c>
      <c r="Q389" s="177"/>
      <c r="R389" s="132"/>
      <c r="S389" s="18"/>
      <c r="T389" s="9"/>
      <c r="U389" s="9"/>
      <c r="V389" s="9"/>
    </row>
    <row r="390" spans="1:22" s="8" customFormat="1" ht="49.5" outlineLevel="1" x14ac:dyDescent="0.25">
      <c r="A390" s="1009"/>
      <c r="B390" s="1005"/>
      <c r="C390" s="294" t="s">
        <v>37</v>
      </c>
      <c r="D390" s="180">
        <f>71615.6*1.18</f>
        <v>84506.407999999996</v>
      </c>
      <c r="E390" s="181" t="s">
        <v>547</v>
      </c>
      <c r="F390" s="181" t="s">
        <v>548</v>
      </c>
      <c r="G390" s="182">
        <v>84300.84</v>
      </c>
      <c r="H390" s="183">
        <v>42381</v>
      </c>
      <c r="I390" s="183">
        <v>42381</v>
      </c>
      <c r="J390" s="184">
        <v>84506.41</v>
      </c>
      <c r="K390" s="184">
        <v>84506.405824000001</v>
      </c>
      <c r="L390" s="183"/>
      <c r="M390" s="184">
        <f t="shared" ref="M390" si="21">J390-D390</f>
        <v>2.0000000076834112E-3</v>
      </c>
      <c r="N390" s="202"/>
      <c r="O390" s="283" t="s">
        <v>682</v>
      </c>
      <c r="P390" s="176"/>
      <c r="Q390" s="177"/>
      <c r="R390" s="132"/>
      <c r="S390" s="18"/>
      <c r="T390" s="2"/>
      <c r="U390" s="2"/>
      <c r="V390" s="2"/>
    </row>
    <row r="391" spans="1:22" s="8" customFormat="1" ht="17.25" outlineLevel="1" thickBot="1" x14ac:dyDescent="0.3">
      <c r="A391" s="1006" t="s">
        <v>628</v>
      </c>
      <c r="B391" s="1007"/>
      <c r="C391" s="454"/>
      <c r="D391" s="365">
        <f>SUM(D389:D390)</f>
        <v>8995506.4079999998</v>
      </c>
      <c r="E391" s="188"/>
      <c r="F391" s="188"/>
      <c r="G391" s="366">
        <f>SUM(G389:G390)</f>
        <v>6997732.04</v>
      </c>
      <c r="H391" s="192"/>
      <c r="I391" s="494"/>
      <c r="J391" s="365">
        <f>SUM(J389:J390)</f>
        <v>84506.41</v>
      </c>
      <c r="K391" s="365">
        <f>SUM(K389:K390)</f>
        <v>84506.405824000001</v>
      </c>
      <c r="L391" s="367"/>
      <c r="M391" s="365"/>
      <c r="N391" s="368">
        <f>AVERAGE(N389:N390)</f>
        <v>0</v>
      </c>
      <c r="O391" s="455"/>
      <c r="P391" s="176"/>
      <c r="Q391" s="177"/>
      <c r="R391" s="168"/>
      <c r="S391" s="19"/>
      <c r="T391" s="2"/>
      <c r="U391" s="2"/>
      <c r="V391" s="2"/>
    </row>
    <row r="392" spans="1:22" s="6" customFormat="1" ht="33" x14ac:dyDescent="0.25">
      <c r="A392" s="1008">
        <v>20</v>
      </c>
      <c r="B392" s="1004" t="s">
        <v>109</v>
      </c>
      <c r="C392" s="162" t="s">
        <v>500</v>
      </c>
      <c r="D392" s="162">
        <v>4184274.76</v>
      </c>
      <c r="E392" s="197" t="s">
        <v>749</v>
      </c>
      <c r="F392" s="197" t="s">
        <v>750</v>
      </c>
      <c r="G392" s="162">
        <v>4065684.77</v>
      </c>
      <c r="H392" s="161">
        <v>42500</v>
      </c>
      <c r="I392" s="161">
        <v>42489</v>
      </c>
      <c r="J392" s="162">
        <v>4184274.76</v>
      </c>
      <c r="K392" s="162">
        <v>4184274.76</v>
      </c>
      <c r="L392" s="161"/>
      <c r="M392" s="316">
        <f t="shared" ref="M392" si="22">J392-D392</f>
        <v>0</v>
      </c>
      <c r="N392" s="200">
        <v>1</v>
      </c>
      <c r="O392" s="456"/>
      <c r="P392" s="176"/>
      <c r="Q392" s="177"/>
      <c r="R392" s="132"/>
      <c r="S392" s="18"/>
      <c r="T392" s="9"/>
      <c r="U392" s="9"/>
      <c r="V392" s="9"/>
    </row>
    <row r="393" spans="1:22" s="8" customFormat="1" ht="33.75" customHeight="1" outlineLevel="1" x14ac:dyDescent="0.25">
      <c r="A393" s="1009"/>
      <c r="B393" s="1005"/>
      <c r="C393" s="303" t="s">
        <v>501</v>
      </c>
      <c r="D393" s="303">
        <v>8886000</v>
      </c>
      <c r="E393" s="432" t="s">
        <v>1280</v>
      </c>
      <c r="F393" s="303" t="s">
        <v>670</v>
      </c>
      <c r="G393" s="374">
        <v>6883640.9199999999</v>
      </c>
      <c r="H393" s="171">
        <v>42855</v>
      </c>
      <c r="I393" s="172"/>
      <c r="J393" s="173"/>
      <c r="K393" s="173"/>
      <c r="L393" s="171"/>
      <c r="M393" s="173"/>
      <c r="N393" s="460">
        <v>0</v>
      </c>
      <c r="O393" s="300"/>
      <c r="P393" s="176">
        <v>2017</v>
      </c>
      <c r="Q393" s="177"/>
      <c r="R393" s="132"/>
      <c r="S393" s="18"/>
      <c r="T393" s="2"/>
      <c r="U393" s="2"/>
      <c r="V393" s="2"/>
    </row>
    <row r="394" spans="1:22" s="8" customFormat="1" ht="49.5" outlineLevel="1" x14ac:dyDescent="0.25">
      <c r="A394" s="1009"/>
      <c r="B394" s="1005"/>
      <c r="C394" s="294" t="s">
        <v>37</v>
      </c>
      <c r="D394" s="180">
        <f>130827.42*1.18</f>
        <v>154376.35559999998</v>
      </c>
      <c r="E394" s="181" t="s">
        <v>547</v>
      </c>
      <c r="F394" s="493" t="s">
        <v>548</v>
      </c>
      <c r="G394" s="182">
        <v>154000.82</v>
      </c>
      <c r="H394" s="183">
        <v>42381</v>
      </c>
      <c r="I394" s="183">
        <v>42381</v>
      </c>
      <c r="J394" s="184">
        <v>154376.35999999999</v>
      </c>
      <c r="K394" s="184">
        <v>154376.35950399999</v>
      </c>
      <c r="L394" s="183"/>
      <c r="M394" s="184">
        <f t="shared" ref="M394" si="23">J394-D394</f>
        <v>4.4000000052619725E-3</v>
      </c>
      <c r="N394" s="202"/>
      <c r="O394" s="283" t="s">
        <v>685</v>
      </c>
      <c r="P394" s="176"/>
      <c r="Q394" s="177"/>
      <c r="R394" s="168"/>
      <c r="S394" s="19"/>
      <c r="T394" s="2"/>
      <c r="U394" s="2"/>
      <c r="V394" s="2"/>
    </row>
    <row r="395" spans="1:22" s="8" customFormat="1" ht="17.25" outlineLevel="1" thickBot="1" x14ac:dyDescent="0.3">
      <c r="A395" s="1006" t="s">
        <v>628</v>
      </c>
      <c r="B395" s="1007"/>
      <c r="C395" s="454"/>
      <c r="D395" s="365">
        <f>SUM(D392:D394)</f>
        <v>13224651.115599999</v>
      </c>
      <c r="E395" s="239"/>
      <c r="F395" s="239"/>
      <c r="G395" s="366">
        <f>SUM(G392:G394)</f>
        <v>11103326.51</v>
      </c>
      <c r="H395" s="309"/>
      <c r="I395" s="494"/>
      <c r="J395" s="365">
        <f>SUM(J392:J394)</f>
        <v>4338651.12</v>
      </c>
      <c r="K395" s="365">
        <f>SUM(K392:K394)</f>
        <v>4338651.1195040001</v>
      </c>
      <c r="L395" s="367"/>
      <c r="M395" s="365"/>
      <c r="N395" s="368">
        <f>AVERAGE(N392:N394)</f>
        <v>0.5</v>
      </c>
      <c r="O395" s="455"/>
      <c r="P395" s="176"/>
      <c r="Q395" s="177"/>
      <c r="R395" s="132"/>
      <c r="S395" s="18"/>
      <c r="T395" s="2"/>
      <c r="U395" s="2"/>
      <c r="V395" s="2"/>
    </row>
    <row r="396" spans="1:22" s="6" customFormat="1" ht="66" x14ac:dyDescent="0.25">
      <c r="A396" s="1008">
        <v>21</v>
      </c>
      <c r="B396" s="1004" t="s">
        <v>110</v>
      </c>
      <c r="C396" s="162" t="s">
        <v>500</v>
      </c>
      <c r="D396" s="162">
        <v>4016547.74</v>
      </c>
      <c r="E396" s="197" t="s">
        <v>744</v>
      </c>
      <c r="F396" s="197" t="s">
        <v>596</v>
      </c>
      <c r="G396" s="353">
        <v>3812938.6</v>
      </c>
      <c r="H396" s="161">
        <v>42475</v>
      </c>
      <c r="I396" s="161">
        <v>42460</v>
      </c>
      <c r="J396" s="162">
        <v>4016547.7399999998</v>
      </c>
      <c r="K396" s="162">
        <v>4016547.7399999998</v>
      </c>
      <c r="L396" s="161"/>
      <c r="M396" s="316">
        <f t="shared" ref="M396:M397" si="24">J396-D396</f>
        <v>0</v>
      </c>
      <c r="N396" s="200">
        <v>1</v>
      </c>
      <c r="O396" s="456"/>
      <c r="P396" s="176"/>
      <c r="Q396" s="177"/>
      <c r="R396" s="132"/>
      <c r="S396" s="18"/>
      <c r="T396" s="9"/>
      <c r="U396" s="9"/>
      <c r="V396" s="9"/>
    </row>
    <row r="397" spans="1:22" s="8" customFormat="1" ht="49.5" outlineLevel="1" x14ac:dyDescent="0.25">
      <c r="A397" s="1009"/>
      <c r="B397" s="1005"/>
      <c r="C397" s="294" t="s">
        <v>37</v>
      </c>
      <c r="D397" s="180">
        <f>65714.68*1.18</f>
        <v>77543.32239999999</v>
      </c>
      <c r="E397" s="181" t="s">
        <v>547</v>
      </c>
      <c r="F397" s="181" t="s">
        <v>548</v>
      </c>
      <c r="G397" s="182">
        <v>77354.69</v>
      </c>
      <c r="H397" s="183">
        <v>42381</v>
      </c>
      <c r="I397" s="183">
        <v>42381</v>
      </c>
      <c r="J397" s="184">
        <v>77543.320000000007</v>
      </c>
      <c r="K397" s="184">
        <v>77543.321848000007</v>
      </c>
      <c r="L397" s="183"/>
      <c r="M397" s="184">
        <f t="shared" si="24"/>
        <v>-2.3999999830266461E-3</v>
      </c>
      <c r="N397" s="202"/>
      <c r="O397" s="283" t="s">
        <v>686</v>
      </c>
      <c r="P397" s="176"/>
      <c r="Q397" s="177"/>
      <c r="R397" s="132"/>
      <c r="S397" s="18"/>
      <c r="T397" s="2"/>
      <c r="U397" s="2"/>
      <c r="V397" s="2"/>
    </row>
    <row r="398" spans="1:22" s="8" customFormat="1" ht="17.25" outlineLevel="1" thickBot="1" x14ac:dyDescent="0.3">
      <c r="A398" s="1006" t="s">
        <v>628</v>
      </c>
      <c r="B398" s="1007"/>
      <c r="C398" s="454"/>
      <c r="D398" s="365">
        <f>SUM(D396:D397)</f>
        <v>4094091.0624000002</v>
      </c>
      <c r="E398" s="239"/>
      <c r="F398" s="239"/>
      <c r="G398" s="366">
        <f>SUM(G396:G397)</f>
        <v>3890293.29</v>
      </c>
      <c r="H398" s="309"/>
      <c r="I398" s="494"/>
      <c r="J398" s="365">
        <f>SUM(J396:J397)</f>
        <v>4094091.0599999996</v>
      </c>
      <c r="K398" s="365">
        <f>SUM(K396:K397)</f>
        <v>4094091.0618479997</v>
      </c>
      <c r="L398" s="367"/>
      <c r="M398" s="365"/>
      <c r="N398" s="368">
        <f>AVERAGE(N396:N397)</f>
        <v>1</v>
      </c>
      <c r="O398" s="455"/>
      <c r="P398" s="176"/>
      <c r="Q398" s="177"/>
      <c r="R398" s="132"/>
      <c r="S398" s="18"/>
      <c r="T398" s="2"/>
      <c r="U398" s="2"/>
      <c r="V398" s="2"/>
    </row>
    <row r="399" spans="1:22" s="6" customFormat="1" ht="33" x14ac:dyDescent="0.25">
      <c r="A399" s="1008">
        <v>22</v>
      </c>
      <c r="B399" s="1004" t="s">
        <v>111</v>
      </c>
      <c r="C399" s="372" t="s">
        <v>501</v>
      </c>
      <c r="D399" s="372">
        <v>8091821.6799999997</v>
      </c>
      <c r="E399" s="220" t="s">
        <v>1190</v>
      </c>
      <c r="F399" s="220" t="s">
        <v>1189</v>
      </c>
      <c r="G399" s="463">
        <v>8091821.6799999997</v>
      </c>
      <c r="H399" s="223">
        <v>42916</v>
      </c>
      <c r="I399" s="375"/>
      <c r="J399" s="221"/>
      <c r="K399" s="221"/>
      <c r="L399" s="223"/>
      <c r="M399" s="221"/>
      <c r="N399" s="376">
        <v>0</v>
      </c>
      <c r="O399" s="453"/>
      <c r="P399" s="176">
        <v>2017</v>
      </c>
      <c r="Q399" s="177"/>
      <c r="R399" s="132"/>
      <c r="S399" s="18"/>
      <c r="T399" s="9"/>
      <c r="U399" s="9"/>
      <c r="V399" s="9"/>
    </row>
    <row r="400" spans="1:22" s="8" customFormat="1" ht="49.5" outlineLevel="1" x14ac:dyDescent="0.25">
      <c r="A400" s="1009"/>
      <c r="B400" s="1005"/>
      <c r="C400" s="294" t="s">
        <v>37</v>
      </c>
      <c r="D400" s="180">
        <f>102020.03*1.18</f>
        <v>120383.6354</v>
      </c>
      <c r="E400" s="181" t="s">
        <v>547</v>
      </c>
      <c r="F400" s="181" t="s">
        <v>548</v>
      </c>
      <c r="G400" s="182">
        <v>120090.79</v>
      </c>
      <c r="H400" s="183">
        <v>42381</v>
      </c>
      <c r="I400" s="183">
        <v>42381</v>
      </c>
      <c r="J400" s="184">
        <v>120383.63</v>
      </c>
      <c r="K400" s="184">
        <v>120383.63449600001</v>
      </c>
      <c r="L400" s="183"/>
      <c r="M400" s="184">
        <f t="shared" ref="M400" si="25">J400-D400</f>
        <v>-5.3999999945517629E-3</v>
      </c>
      <c r="N400" s="202"/>
      <c r="O400" s="283" t="s">
        <v>687</v>
      </c>
      <c r="P400" s="176"/>
      <c r="Q400" s="177"/>
      <c r="R400" s="168"/>
      <c r="S400" s="19"/>
      <c r="T400" s="2"/>
      <c r="U400" s="2"/>
      <c r="V400" s="2"/>
    </row>
    <row r="401" spans="1:22" s="8" customFormat="1" ht="17.25" outlineLevel="1" thickBot="1" x14ac:dyDescent="0.3">
      <c r="A401" s="1006" t="s">
        <v>628</v>
      </c>
      <c r="B401" s="1007"/>
      <c r="C401" s="454"/>
      <c r="D401" s="365">
        <f>SUM(D399:D400)</f>
        <v>8212205.3153999997</v>
      </c>
      <c r="E401" s="239"/>
      <c r="F401" s="239"/>
      <c r="G401" s="366">
        <f>SUM(G399:G400)</f>
        <v>8211912.4699999997</v>
      </c>
      <c r="H401" s="309"/>
      <c r="I401" s="321"/>
      <c r="J401" s="365">
        <f>SUM(J399:J400)</f>
        <v>120383.63</v>
      </c>
      <c r="K401" s="365">
        <f>SUM(K399:K400)</f>
        <v>120383.63449600001</v>
      </c>
      <c r="L401" s="367"/>
      <c r="M401" s="365"/>
      <c r="N401" s="368">
        <f>AVERAGE(N399:N400)</f>
        <v>0</v>
      </c>
      <c r="O401" s="455"/>
      <c r="P401" s="176"/>
      <c r="Q401" s="177"/>
      <c r="R401" s="132"/>
      <c r="S401" s="18"/>
      <c r="T401" s="2"/>
      <c r="U401" s="2"/>
      <c r="V401" s="2"/>
    </row>
    <row r="402" spans="1:22" s="6" customFormat="1" ht="66" x14ac:dyDescent="0.25">
      <c r="A402" s="1008">
        <v>23</v>
      </c>
      <c r="B402" s="1058" t="s">
        <v>112</v>
      </c>
      <c r="C402" s="162" t="s">
        <v>500</v>
      </c>
      <c r="D402" s="162">
        <v>5758648.9800000004</v>
      </c>
      <c r="E402" s="197" t="s">
        <v>595</v>
      </c>
      <c r="F402" s="197" t="s">
        <v>596</v>
      </c>
      <c r="G402" s="162">
        <v>5571622.5199999996</v>
      </c>
      <c r="H402" s="161">
        <v>42394</v>
      </c>
      <c r="I402" s="161">
        <v>42405</v>
      </c>
      <c r="J402" s="162">
        <v>5758648.9800000004</v>
      </c>
      <c r="K402" s="162">
        <v>5758648.9799999995</v>
      </c>
      <c r="L402" s="161"/>
      <c r="M402" s="316">
        <f t="shared" ref="M402" si="26">J402-D402</f>
        <v>0</v>
      </c>
      <c r="N402" s="200">
        <v>1</v>
      </c>
      <c r="O402" s="456"/>
      <c r="P402" s="176"/>
      <c r="Q402" s="177"/>
      <c r="R402" s="132"/>
      <c r="S402" s="18"/>
      <c r="T402" s="9"/>
      <c r="U402" s="9"/>
      <c r="V402" s="9"/>
    </row>
    <row r="403" spans="1:22" s="8" customFormat="1" ht="33" outlineLevel="1" x14ac:dyDescent="0.25">
      <c r="A403" s="1009"/>
      <c r="B403" s="1059"/>
      <c r="C403" s="303" t="s">
        <v>501</v>
      </c>
      <c r="D403" s="303">
        <v>14985000</v>
      </c>
      <c r="E403" s="432" t="s">
        <v>1280</v>
      </c>
      <c r="F403" s="303" t="s">
        <v>670</v>
      </c>
      <c r="G403" s="374">
        <v>12985226.220000001</v>
      </c>
      <c r="H403" s="171">
        <v>42855</v>
      </c>
      <c r="I403" s="172"/>
      <c r="J403" s="173"/>
      <c r="K403" s="303"/>
      <c r="L403" s="511"/>
      <c r="M403" s="303"/>
      <c r="N403" s="512">
        <v>0</v>
      </c>
      <c r="O403" s="300"/>
      <c r="P403" s="176">
        <v>2017</v>
      </c>
      <c r="Q403" s="446"/>
      <c r="R403" s="496"/>
      <c r="S403" s="2"/>
      <c r="T403" s="2"/>
      <c r="U403" s="2"/>
      <c r="V403" s="2"/>
    </row>
    <row r="404" spans="1:22" s="8" customFormat="1" ht="43.5" customHeight="1" outlineLevel="1" x14ac:dyDescent="0.25">
      <c r="A404" s="1009"/>
      <c r="B404" s="1059"/>
      <c r="C404" s="163" t="s">
        <v>34</v>
      </c>
      <c r="D404" s="163">
        <v>4586327.24</v>
      </c>
      <c r="E404" s="253" t="s">
        <v>1041</v>
      </c>
      <c r="F404" s="253" t="s">
        <v>876</v>
      </c>
      <c r="G404" s="354">
        <v>4894040.76</v>
      </c>
      <c r="H404" s="210">
        <v>42594</v>
      </c>
      <c r="I404" s="210">
        <v>42658</v>
      </c>
      <c r="J404" s="163">
        <v>4586327.24</v>
      </c>
      <c r="K404" s="163">
        <v>4586327.24</v>
      </c>
      <c r="L404" s="210"/>
      <c r="M404" s="163"/>
      <c r="N404" s="213">
        <v>1</v>
      </c>
      <c r="O404" s="491" t="s">
        <v>725</v>
      </c>
      <c r="P404" s="176"/>
      <c r="Q404" s="201" t="s">
        <v>1116</v>
      </c>
      <c r="R404" s="496"/>
      <c r="S404" s="2"/>
      <c r="T404" s="2"/>
      <c r="U404" s="2"/>
      <c r="V404" s="2"/>
    </row>
    <row r="405" spans="1:22" s="8" customFormat="1" ht="49.5" outlineLevel="1" x14ac:dyDescent="0.25">
      <c r="A405" s="1009"/>
      <c r="B405" s="1059"/>
      <c r="C405" s="184" t="s">
        <v>983</v>
      </c>
      <c r="D405" s="184">
        <v>71976.08</v>
      </c>
      <c r="E405" s="181" t="s">
        <v>982</v>
      </c>
      <c r="F405" s="181" t="s">
        <v>548</v>
      </c>
      <c r="G405" s="506">
        <v>71976.08</v>
      </c>
      <c r="H405" s="183">
        <v>42586</v>
      </c>
      <c r="I405" s="183">
        <v>42577</v>
      </c>
      <c r="J405" s="184">
        <v>71976.08</v>
      </c>
      <c r="K405" s="184">
        <v>71976.08</v>
      </c>
      <c r="L405" s="183"/>
      <c r="M405" s="184"/>
      <c r="N405" s="513"/>
      <c r="O405" s="300"/>
      <c r="P405" s="176"/>
      <c r="Q405" s="446"/>
      <c r="R405" s="496"/>
      <c r="S405" s="2"/>
      <c r="T405" s="2"/>
      <c r="U405" s="2"/>
      <c r="V405" s="2"/>
    </row>
    <row r="406" spans="1:22" s="8" customFormat="1" ht="49.5" outlineLevel="1" x14ac:dyDescent="0.25">
      <c r="A406" s="1009"/>
      <c r="B406" s="1060"/>
      <c r="C406" s="294" t="s">
        <v>37</v>
      </c>
      <c r="D406" s="180">
        <f>159755.89*1.18</f>
        <v>188511.95019999999</v>
      </c>
      <c r="E406" s="181" t="s">
        <v>547</v>
      </c>
      <c r="F406" s="181" t="s">
        <v>548</v>
      </c>
      <c r="G406" s="182">
        <v>188053.38</v>
      </c>
      <c r="H406" s="183">
        <v>42381</v>
      </c>
      <c r="I406" s="183">
        <v>42381</v>
      </c>
      <c r="J406" s="184">
        <v>188511.95</v>
      </c>
      <c r="K406" s="514">
        <v>188511.95248000001</v>
      </c>
      <c r="L406" s="515"/>
      <c r="M406" s="184">
        <f t="shared" ref="M406" si="27">J406-D406</f>
        <v>-1.999999803956598E-4</v>
      </c>
      <c r="N406" s="516"/>
      <c r="O406" s="283" t="s">
        <v>753</v>
      </c>
      <c r="P406" s="176"/>
      <c r="Q406" s="177"/>
      <c r="R406" s="132"/>
      <c r="S406" s="18"/>
      <c r="T406" s="2"/>
      <c r="U406" s="2"/>
      <c r="V406" s="2"/>
    </row>
    <row r="407" spans="1:22" s="8" customFormat="1" ht="17.25" outlineLevel="1" thickBot="1" x14ac:dyDescent="0.3">
      <c r="A407" s="1006" t="s">
        <v>628</v>
      </c>
      <c r="B407" s="1007"/>
      <c r="C407" s="454"/>
      <c r="D407" s="365">
        <f>SUM(D402:D406)</f>
        <v>25590464.250199996</v>
      </c>
      <c r="E407" s="239"/>
      <c r="F407" s="239"/>
      <c r="G407" s="366">
        <f>SUM(G402:G406)</f>
        <v>23710918.959999997</v>
      </c>
      <c r="H407" s="309"/>
      <c r="I407" s="321"/>
      <c r="J407" s="365">
        <f>SUM(J402:J406)</f>
        <v>10605464.25</v>
      </c>
      <c r="K407" s="365">
        <f>SUM(K402:K406)</f>
        <v>10605464.252479998</v>
      </c>
      <c r="L407" s="367"/>
      <c r="M407" s="365"/>
      <c r="N407" s="368">
        <f>AVERAGE(N402:N406)</f>
        <v>0.66666666666666663</v>
      </c>
      <c r="O407" s="455"/>
      <c r="P407" s="176"/>
      <c r="Q407" s="177"/>
      <c r="R407" s="132"/>
      <c r="S407" s="18"/>
      <c r="T407" s="2"/>
      <c r="U407" s="2"/>
      <c r="V407" s="2"/>
    </row>
    <row r="408" spans="1:22" s="6" customFormat="1" ht="66" x14ac:dyDescent="0.25">
      <c r="A408" s="501">
        <v>24</v>
      </c>
      <c r="B408" s="465" t="s">
        <v>143</v>
      </c>
      <c r="C408" s="162" t="s">
        <v>500</v>
      </c>
      <c r="D408" s="162">
        <v>4501543.83</v>
      </c>
      <c r="E408" s="197" t="s">
        <v>606</v>
      </c>
      <c r="F408" s="161" t="s">
        <v>603</v>
      </c>
      <c r="G408" s="353">
        <v>4678000</v>
      </c>
      <c r="H408" s="161">
        <v>42415</v>
      </c>
      <c r="I408" s="161">
        <v>42433</v>
      </c>
      <c r="J408" s="162">
        <v>4501543.83</v>
      </c>
      <c r="K408" s="162">
        <v>4501543.83</v>
      </c>
      <c r="L408" s="161"/>
      <c r="M408" s="316">
        <f t="shared" ref="M408" si="28">J408-D408</f>
        <v>0</v>
      </c>
      <c r="N408" s="200">
        <v>1</v>
      </c>
      <c r="O408" s="456"/>
      <c r="P408" s="176"/>
      <c r="Q408" s="177"/>
      <c r="R408" s="168"/>
      <c r="S408" s="19"/>
      <c r="T408" s="9"/>
      <c r="U408" s="9"/>
      <c r="V408" s="9"/>
    </row>
    <row r="409" spans="1:22" s="8" customFormat="1" ht="17.25" outlineLevel="1" thickBot="1" x14ac:dyDescent="0.3">
      <c r="A409" s="1006" t="s">
        <v>628</v>
      </c>
      <c r="B409" s="1007"/>
      <c r="C409" s="454"/>
      <c r="D409" s="365">
        <f>SUM(D408:D408)</f>
        <v>4501543.83</v>
      </c>
      <c r="E409" s="239"/>
      <c r="F409" s="239"/>
      <c r="G409" s="366">
        <f>SUM(G408:G408)</f>
        <v>4678000</v>
      </c>
      <c r="H409" s="309"/>
      <c r="I409" s="321"/>
      <c r="J409" s="365">
        <f>SUM(J408:J408)</f>
        <v>4501543.83</v>
      </c>
      <c r="K409" s="365">
        <f>SUM(K408:K408)</f>
        <v>4501543.83</v>
      </c>
      <c r="L409" s="367"/>
      <c r="M409" s="365"/>
      <c r="N409" s="368">
        <f>AVERAGE(N408)</f>
        <v>1</v>
      </c>
      <c r="O409" s="455"/>
      <c r="P409" s="176"/>
      <c r="Q409" s="177"/>
      <c r="R409" s="132"/>
      <c r="S409" s="18"/>
      <c r="T409" s="2"/>
      <c r="U409" s="2"/>
      <c r="V409" s="2"/>
    </row>
    <row r="410" spans="1:22" s="6" customFormat="1" ht="33" x14ac:dyDescent="0.25">
      <c r="A410" s="1008">
        <v>25</v>
      </c>
      <c r="B410" s="1004" t="s">
        <v>113</v>
      </c>
      <c r="C410" s="372" t="s">
        <v>501</v>
      </c>
      <c r="D410" s="372">
        <v>22775453.760000002</v>
      </c>
      <c r="E410" s="432" t="s">
        <v>1280</v>
      </c>
      <c r="F410" s="303" t="s">
        <v>670</v>
      </c>
      <c r="G410" s="463">
        <v>22775453.760000002</v>
      </c>
      <c r="H410" s="171">
        <v>42855</v>
      </c>
      <c r="I410" s="224"/>
      <c r="J410" s="225"/>
      <c r="K410" s="225"/>
      <c r="L410" s="226"/>
      <c r="M410" s="225"/>
      <c r="N410" s="376">
        <v>0</v>
      </c>
      <c r="O410" s="453"/>
      <c r="P410" s="176">
        <v>2017</v>
      </c>
      <c r="Q410" s="177"/>
      <c r="R410" s="168"/>
      <c r="S410" s="19"/>
      <c r="T410" s="9"/>
      <c r="U410" s="9"/>
      <c r="V410" s="9"/>
    </row>
    <row r="411" spans="1:22" s="8" customFormat="1" ht="49.5" outlineLevel="1" x14ac:dyDescent="0.25">
      <c r="A411" s="1009"/>
      <c r="B411" s="1005"/>
      <c r="C411" s="294" t="s">
        <v>37</v>
      </c>
      <c r="D411" s="180">
        <f>105712.33*1.18</f>
        <v>124740.54939999999</v>
      </c>
      <c r="E411" s="181" t="s">
        <v>547</v>
      </c>
      <c r="F411" s="181" t="s">
        <v>548</v>
      </c>
      <c r="G411" s="182">
        <v>124437.11</v>
      </c>
      <c r="H411" s="183">
        <v>42381</v>
      </c>
      <c r="I411" s="183">
        <v>42381</v>
      </c>
      <c r="J411" s="184">
        <v>124740.55</v>
      </c>
      <c r="K411" s="184">
        <v>124740.55352000002</v>
      </c>
      <c r="L411" s="183"/>
      <c r="M411" s="184">
        <f t="shared" ref="M411" si="29">J411-D411</f>
        <v>6.0000001394655555E-4</v>
      </c>
      <c r="N411" s="202"/>
      <c r="O411" s="283" t="s">
        <v>689</v>
      </c>
      <c r="P411" s="176"/>
      <c r="Q411" s="177"/>
      <c r="R411" s="132"/>
      <c r="S411" s="18"/>
      <c r="T411" s="2"/>
      <c r="U411" s="2"/>
      <c r="V411" s="2"/>
    </row>
    <row r="412" spans="1:22" s="8" customFormat="1" ht="17.25" outlineLevel="1" thickBot="1" x14ac:dyDescent="0.3">
      <c r="A412" s="1006" t="s">
        <v>628</v>
      </c>
      <c r="B412" s="1007"/>
      <c r="C412" s="454"/>
      <c r="D412" s="365">
        <f>SUM(D410:D411)</f>
        <v>22900194.309400003</v>
      </c>
      <c r="E412" s="239"/>
      <c r="F412" s="239"/>
      <c r="G412" s="366">
        <f>SUM(G410:G411)</f>
        <v>22899890.870000001</v>
      </c>
      <c r="H412" s="309"/>
      <c r="I412" s="494"/>
      <c r="J412" s="365">
        <f>SUM(J410:J411)</f>
        <v>124740.55</v>
      </c>
      <c r="K412" s="365">
        <f>SUM(K410:K411)</f>
        <v>124740.55352000002</v>
      </c>
      <c r="L412" s="367"/>
      <c r="M412" s="365"/>
      <c r="N412" s="368">
        <f>AVERAGE(N410:N411)</f>
        <v>0</v>
      </c>
      <c r="O412" s="455"/>
      <c r="P412" s="176"/>
      <c r="Q412" s="177"/>
      <c r="R412" s="132"/>
      <c r="S412" s="18"/>
      <c r="T412" s="2"/>
      <c r="U412" s="2"/>
      <c r="V412" s="2"/>
    </row>
    <row r="413" spans="1:22" s="6" customFormat="1" ht="33" x14ac:dyDescent="0.25">
      <c r="A413" s="1008">
        <v>26</v>
      </c>
      <c r="B413" s="1004" t="s">
        <v>115</v>
      </c>
      <c r="C413" s="372" t="s">
        <v>501</v>
      </c>
      <c r="D413" s="372">
        <v>9703053.8599999994</v>
      </c>
      <c r="E413" s="220" t="s">
        <v>1190</v>
      </c>
      <c r="F413" s="220" t="s">
        <v>1189</v>
      </c>
      <c r="G413" s="463">
        <v>9703053.8599999994</v>
      </c>
      <c r="H413" s="223">
        <v>42916</v>
      </c>
      <c r="I413" s="375"/>
      <c r="J413" s="221"/>
      <c r="K413" s="221"/>
      <c r="L413" s="223"/>
      <c r="M413" s="221"/>
      <c r="N413" s="376">
        <v>0</v>
      </c>
      <c r="O413" s="453"/>
      <c r="P413" s="176">
        <v>2017</v>
      </c>
      <c r="Q413" s="177"/>
      <c r="R413" s="168"/>
      <c r="S413" s="19"/>
      <c r="T413" s="9"/>
      <c r="U413" s="9"/>
      <c r="V413" s="9"/>
    </row>
    <row r="414" spans="1:22" s="8" customFormat="1" ht="49.5" outlineLevel="1" x14ac:dyDescent="0.25">
      <c r="A414" s="1009"/>
      <c r="B414" s="1005"/>
      <c r="C414" s="294" t="s">
        <v>37</v>
      </c>
      <c r="D414" s="180">
        <f>93500.62*1.18</f>
        <v>110330.73159999998</v>
      </c>
      <c r="E414" s="181" t="s">
        <v>547</v>
      </c>
      <c r="F414" s="181" t="s">
        <v>548</v>
      </c>
      <c r="G414" s="182">
        <v>110062.34</v>
      </c>
      <c r="H414" s="183">
        <v>42381</v>
      </c>
      <c r="I414" s="183">
        <v>42381</v>
      </c>
      <c r="J414" s="184">
        <v>110330.73</v>
      </c>
      <c r="K414" s="184">
        <v>110330.731072</v>
      </c>
      <c r="L414" s="183"/>
      <c r="M414" s="184">
        <f t="shared" ref="M414" si="30">J414-D414</f>
        <v>-1.5999999886844307E-3</v>
      </c>
      <c r="N414" s="202"/>
      <c r="O414" s="283" t="s">
        <v>680</v>
      </c>
      <c r="P414" s="176"/>
      <c r="Q414" s="177"/>
      <c r="R414" s="132"/>
      <c r="S414" s="18"/>
      <c r="T414" s="2"/>
      <c r="U414" s="2"/>
      <c r="V414" s="2"/>
    </row>
    <row r="415" spans="1:22" s="8" customFormat="1" ht="17.25" outlineLevel="1" thickBot="1" x14ac:dyDescent="0.3">
      <c r="A415" s="1006" t="s">
        <v>628</v>
      </c>
      <c r="B415" s="1007"/>
      <c r="C415" s="454"/>
      <c r="D415" s="365">
        <f>SUM(D413:D414)</f>
        <v>9813384.591599999</v>
      </c>
      <c r="E415" s="239"/>
      <c r="F415" s="239"/>
      <c r="G415" s="366">
        <f>SUM(G413:G414)</f>
        <v>9813116.1999999993</v>
      </c>
      <c r="H415" s="309"/>
      <c r="I415" s="494"/>
      <c r="J415" s="365">
        <f>SUM(J413:J414)</f>
        <v>110330.73</v>
      </c>
      <c r="K415" s="365">
        <f>SUM(K413:K414)</f>
        <v>110330.731072</v>
      </c>
      <c r="L415" s="367"/>
      <c r="M415" s="365"/>
      <c r="N415" s="368">
        <f>AVERAGE(N413:N414)</f>
        <v>0</v>
      </c>
      <c r="O415" s="455"/>
      <c r="P415" s="176"/>
      <c r="Q415" s="177"/>
      <c r="R415" s="132"/>
      <c r="S415" s="18"/>
      <c r="T415" s="2"/>
      <c r="U415" s="2"/>
      <c r="V415" s="2"/>
    </row>
    <row r="416" spans="1:22" s="6" customFormat="1" ht="32.25" customHeight="1" x14ac:dyDescent="0.25">
      <c r="A416" s="1008">
        <v>27</v>
      </c>
      <c r="B416" s="1004" t="s">
        <v>127</v>
      </c>
      <c r="C416" s="162" t="s">
        <v>500</v>
      </c>
      <c r="D416" s="162">
        <v>2703760</v>
      </c>
      <c r="E416" s="197" t="s">
        <v>891</v>
      </c>
      <c r="F416" s="197" t="s">
        <v>892</v>
      </c>
      <c r="G416" s="353">
        <v>2734161.6</v>
      </c>
      <c r="H416" s="161">
        <v>42582</v>
      </c>
      <c r="I416" s="161">
        <v>42658</v>
      </c>
      <c r="J416" s="162">
        <v>2703760</v>
      </c>
      <c r="K416" s="162">
        <v>2703760</v>
      </c>
      <c r="L416" s="161">
        <v>42695</v>
      </c>
      <c r="M416" s="162"/>
      <c r="N416" s="200">
        <v>1</v>
      </c>
      <c r="O416" s="453"/>
      <c r="P416" s="176"/>
      <c r="Q416" s="201" t="s">
        <v>1116</v>
      </c>
      <c r="R416" s="132"/>
      <c r="S416" s="18"/>
      <c r="T416" s="9"/>
      <c r="U416" s="9"/>
      <c r="V416" s="9"/>
    </row>
    <row r="417" spans="1:22" s="8" customFormat="1" ht="49.5" outlineLevel="1" x14ac:dyDescent="0.25">
      <c r="A417" s="1009"/>
      <c r="B417" s="1005"/>
      <c r="C417" s="294" t="s">
        <v>37</v>
      </c>
      <c r="D417" s="180">
        <f>84284.45*1.18</f>
        <v>99455.650999999998</v>
      </c>
      <c r="E417" s="181" t="s">
        <v>555</v>
      </c>
      <c r="F417" s="181" t="s">
        <v>554</v>
      </c>
      <c r="G417" s="182">
        <f>84284.45*1.18</f>
        <v>99455.650999999998</v>
      </c>
      <c r="H417" s="183">
        <v>42429</v>
      </c>
      <c r="I417" s="183">
        <v>42429</v>
      </c>
      <c r="J417" s="184">
        <v>99455.65</v>
      </c>
      <c r="K417" s="184">
        <v>99455.65</v>
      </c>
      <c r="L417" s="183"/>
      <c r="M417" s="184">
        <f t="shared" ref="M417" si="31">J417-D417</f>
        <v>-1.0000000038417056E-3</v>
      </c>
      <c r="N417" s="202"/>
      <c r="O417" s="283" t="s">
        <v>680</v>
      </c>
      <c r="P417" s="176"/>
      <c r="Q417" s="177"/>
      <c r="R417" s="132"/>
      <c r="S417" s="18"/>
      <c r="T417" s="2"/>
      <c r="U417" s="2"/>
      <c r="V417" s="2"/>
    </row>
    <row r="418" spans="1:22" s="8" customFormat="1" ht="17.25" outlineLevel="1" thickBot="1" x14ac:dyDescent="0.3">
      <c r="A418" s="1006" t="s">
        <v>628</v>
      </c>
      <c r="B418" s="1007"/>
      <c r="C418" s="454"/>
      <c r="D418" s="365">
        <f>SUM(D416:D417)</f>
        <v>2803215.6510000001</v>
      </c>
      <c r="E418" s="239"/>
      <c r="F418" s="239"/>
      <c r="G418" s="366">
        <f>SUM(G416:G417)</f>
        <v>2833617.2510000002</v>
      </c>
      <c r="H418" s="309"/>
      <c r="I418" s="321"/>
      <c r="J418" s="365">
        <f>SUM(J416:J417)</f>
        <v>2803215.65</v>
      </c>
      <c r="K418" s="365">
        <f>SUM(K416:K417)</f>
        <v>2803215.65</v>
      </c>
      <c r="L418" s="367"/>
      <c r="M418" s="365"/>
      <c r="N418" s="368">
        <f>AVERAGE(N416:N417)</f>
        <v>1</v>
      </c>
      <c r="O418" s="455"/>
      <c r="P418" s="176"/>
      <c r="Q418" s="177"/>
      <c r="R418" s="132"/>
      <c r="S418" s="18"/>
      <c r="T418" s="2"/>
      <c r="U418" s="2"/>
      <c r="V418" s="2"/>
    </row>
    <row r="419" spans="1:22" s="6" customFormat="1" ht="33" x14ac:dyDescent="0.25">
      <c r="A419" s="1008">
        <v>28</v>
      </c>
      <c r="B419" s="1004" t="s">
        <v>128</v>
      </c>
      <c r="C419" s="162" t="s">
        <v>500</v>
      </c>
      <c r="D419" s="162">
        <v>8288047.3600000003</v>
      </c>
      <c r="E419" s="197" t="s">
        <v>1003</v>
      </c>
      <c r="F419" s="197" t="s">
        <v>840</v>
      </c>
      <c r="G419" s="353">
        <v>8449432.1300000008</v>
      </c>
      <c r="H419" s="161">
        <v>42670</v>
      </c>
      <c r="I419" s="161">
        <v>42669</v>
      </c>
      <c r="J419" s="162">
        <v>8288047.3600000003</v>
      </c>
      <c r="K419" s="162">
        <v>8288047.3600000003</v>
      </c>
      <c r="L419" s="161">
        <v>42719</v>
      </c>
      <c r="M419" s="199"/>
      <c r="N419" s="200">
        <v>1</v>
      </c>
      <c r="O419" s="453"/>
      <c r="P419" s="176"/>
      <c r="Q419" s="177"/>
      <c r="R419" s="168"/>
      <c r="S419" s="19"/>
      <c r="T419" s="9"/>
      <c r="U419" s="9"/>
      <c r="V419" s="9"/>
    </row>
    <row r="420" spans="1:22" s="8" customFormat="1" ht="49.5" outlineLevel="1" x14ac:dyDescent="0.25">
      <c r="A420" s="1009"/>
      <c r="B420" s="1005"/>
      <c r="C420" s="294" t="s">
        <v>37</v>
      </c>
      <c r="D420" s="180">
        <f>91482.53*1.18</f>
        <v>107949.3854</v>
      </c>
      <c r="E420" s="181" t="s">
        <v>555</v>
      </c>
      <c r="F420" s="181" t="s">
        <v>554</v>
      </c>
      <c r="G420" s="182">
        <f>91482.53*1.18</f>
        <v>107949.3854</v>
      </c>
      <c r="H420" s="183">
        <v>42429</v>
      </c>
      <c r="I420" s="183">
        <v>42429</v>
      </c>
      <c r="J420" s="184">
        <v>107949.39000000001</v>
      </c>
      <c r="K420" s="184">
        <v>107949.39000000001</v>
      </c>
      <c r="L420" s="183"/>
      <c r="M420" s="184">
        <f t="shared" ref="M420" si="32">J420-D420</f>
        <v>4.6000000147614628E-3</v>
      </c>
      <c r="N420" s="202"/>
      <c r="O420" s="283" t="s">
        <v>697</v>
      </c>
      <c r="P420" s="176"/>
      <c r="Q420" s="177"/>
      <c r="R420" s="132"/>
      <c r="S420" s="18"/>
      <c r="T420" s="2"/>
      <c r="U420" s="2"/>
      <c r="V420" s="2"/>
    </row>
    <row r="421" spans="1:22" s="8" customFormat="1" ht="17.25" outlineLevel="1" thickBot="1" x14ac:dyDescent="0.3">
      <c r="A421" s="1006" t="s">
        <v>628</v>
      </c>
      <c r="B421" s="1007"/>
      <c r="C421" s="454"/>
      <c r="D421" s="365">
        <f>SUM(D419:D420)</f>
        <v>8395996.7454000004</v>
      </c>
      <c r="E421" s="239"/>
      <c r="F421" s="239"/>
      <c r="G421" s="366">
        <f>SUM(G419:G420)</f>
        <v>8557381.5153999999</v>
      </c>
      <c r="H421" s="309"/>
      <c r="I421" s="321"/>
      <c r="J421" s="365">
        <f>SUM(J419:J420)</f>
        <v>8395996.75</v>
      </c>
      <c r="K421" s="365">
        <f>SUM(K419:K420)</f>
        <v>8395996.75</v>
      </c>
      <c r="L421" s="367"/>
      <c r="M421" s="365"/>
      <c r="N421" s="368">
        <f>AVERAGE(N419:N420)</f>
        <v>1</v>
      </c>
      <c r="O421" s="455"/>
      <c r="P421" s="176"/>
      <c r="Q421" s="177"/>
      <c r="R421" s="132"/>
      <c r="S421" s="18"/>
      <c r="T421" s="2"/>
      <c r="U421" s="2"/>
      <c r="V421" s="2"/>
    </row>
    <row r="422" spans="1:22" s="6" customFormat="1" ht="33" x14ac:dyDescent="0.25">
      <c r="A422" s="1008">
        <v>29</v>
      </c>
      <c r="B422" s="1004" t="s">
        <v>129</v>
      </c>
      <c r="C422" s="162" t="s">
        <v>500</v>
      </c>
      <c r="D422" s="162">
        <v>6083149.25</v>
      </c>
      <c r="E422" s="197" t="s">
        <v>893</v>
      </c>
      <c r="F422" s="197" t="s">
        <v>892</v>
      </c>
      <c r="G422" s="353">
        <v>6990601.1799999997</v>
      </c>
      <c r="H422" s="161">
        <v>42582</v>
      </c>
      <c r="I422" s="161">
        <v>42615</v>
      </c>
      <c r="J422" s="162">
        <v>6083149.25</v>
      </c>
      <c r="K422" s="162">
        <v>6083149.25</v>
      </c>
      <c r="L422" s="161"/>
      <c r="M422" s="162"/>
      <c r="N422" s="200">
        <v>1</v>
      </c>
      <c r="O422" s="453"/>
      <c r="P422" s="176"/>
      <c r="Q422" s="177"/>
      <c r="R422" s="132"/>
      <c r="S422" s="18"/>
      <c r="T422" s="9"/>
      <c r="U422" s="9"/>
      <c r="V422" s="9"/>
    </row>
    <row r="423" spans="1:22" s="8" customFormat="1" ht="49.5" outlineLevel="1" x14ac:dyDescent="0.25">
      <c r="A423" s="1009"/>
      <c r="B423" s="1005"/>
      <c r="C423" s="294" t="s">
        <v>37</v>
      </c>
      <c r="D423" s="180">
        <f>91130.1*1.18</f>
        <v>107533.518</v>
      </c>
      <c r="E423" s="181" t="s">
        <v>555</v>
      </c>
      <c r="F423" s="181" t="s">
        <v>554</v>
      </c>
      <c r="G423" s="182">
        <f>91130.1*1.18</f>
        <v>107533.518</v>
      </c>
      <c r="H423" s="183">
        <v>42429</v>
      </c>
      <c r="I423" s="183">
        <v>42429</v>
      </c>
      <c r="J423" s="184">
        <v>107533.52000000002</v>
      </c>
      <c r="K423" s="184">
        <v>107533.51999999999</v>
      </c>
      <c r="L423" s="183"/>
      <c r="M423" s="184">
        <f t="shared" ref="M423" si="33">J423-D423</f>
        <v>2.0000000222353265E-3</v>
      </c>
      <c r="N423" s="202"/>
      <c r="O423" s="283" t="s">
        <v>680</v>
      </c>
      <c r="P423" s="176"/>
      <c r="Q423" s="177"/>
      <c r="R423" s="132"/>
      <c r="S423" s="18"/>
      <c r="T423" s="2"/>
      <c r="U423" s="2"/>
      <c r="V423" s="2"/>
    </row>
    <row r="424" spans="1:22" s="8" customFormat="1" ht="17.25" outlineLevel="1" thickBot="1" x14ac:dyDescent="0.3">
      <c r="A424" s="1006" t="s">
        <v>628</v>
      </c>
      <c r="B424" s="1007"/>
      <c r="C424" s="454"/>
      <c r="D424" s="365">
        <f>SUM(D422:D423)</f>
        <v>6190682.7680000002</v>
      </c>
      <c r="E424" s="239"/>
      <c r="F424" s="239"/>
      <c r="G424" s="366">
        <f>SUM(G422:G423)</f>
        <v>7098134.6979999999</v>
      </c>
      <c r="H424" s="309"/>
      <c r="I424" s="321"/>
      <c r="J424" s="365">
        <f>SUM(J422:J423)</f>
        <v>6190682.7699999996</v>
      </c>
      <c r="K424" s="365">
        <f>SUM(K422:K423)</f>
        <v>6190682.7699999996</v>
      </c>
      <c r="L424" s="367"/>
      <c r="M424" s="365"/>
      <c r="N424" s="368">
        <f>AVERAGE(N422:N423)</f>
        <v>1</v>
      </c>
      <c r="O424" s="455"/>
      <c r="P424" s="176"/>
      <c r="Q424" s="177"/>
      <c r="R424" s="132"/>
      <c r="S424" s="18"/>
      <c r="T424" s="2"/>
      <c r="U424" s="2"/>
      <c r="V424" s="2"/>
    </row>
    <row r="425" spans="1:22" s="6" customFormat="1" ht="66" x14ac:dyDescent="0.25">
      <c r="A425" s="1008">
        <v>30</v>
      </c>
      <c r="B425" s="1004" t="s">
        <v>2</v>
      </c>
      <c r="C425" s="162" t="s">
        <v>36</v>
      </c>
      <c r="D425" s="162">
        <v>1434254.85</v>
      </c>
      <c r="E425" s="197" t="s">
        <v>744</v>
      </c>
      <c r="F425" s="197" t="s">
        <v>596</v>
      </c>
      <c r="G425" s="353">
        <v>2116025.9700000002</v>
      </c>
      <c r="H425" s="161">
        <v>42475</v>
      </c>
      <c r="I425" s="161">
        <v>42474</v>
      </c>
      <c r="J425" s="162">
        <v>1434254.85</v>
      </c>
      <c r="K425" s="162">
        <v>1434254.8499999999</v>
      </c>
      <c r="L425" s="161"/>
      <c r="M425" s="316">
        <f t="shared" ref="M425:M426" si="34">J425-D425</f>
        <v>0</v>
      </c>
      <c r="N425" s="200">
        <v>1</v>
      </c>
      <c r="O425" s="456"/>
      <c r="P425" s="176"/>
      <c r="Q425" s="177"/>
      <c r="R425" s="168"/>
      <c r="S425" s="19"/>
      <c r="T425" s="9"/>
      <c r="U425" s="9"/>
      <c r="V425" s="9"/>
    </row>
    <row r="426" spans="1:22" s="8" customFormat="1" ht="49.5" outlineLevel="1" x14ac:dyDescent="0.25">
      <c r="A426" s="1009"/>
      <c r="B426" s="1005"/>
      <c r="C426" s="294" t="s">
        <v>37</v>
      </c>
      <c r="D426" s="180">
        <f>64016.27*1.18</f>
        <v>75539.198599999989</v>
      </c>
      <c r="E426" s="181" t="s">
        <v>547</v>
      </c>
      <c r="F426" s="181" t="s">
        <v>548</v>
      </c>
      <c r="G426" s="182">
        <v>75355.44</v>
      </c>
      <c r="H426" s="183">
        <v>42381</v>
      </c>
      <c r="I426" s="183">
        <v>42381</v>
      </c>
      <c r="J426" s="184">
        <v>75539.199999999997</v>
      </c>
      <c r="K426" s="184">
        <v>75539.191879999998</v>
      </c>
      <c r="L426" s="183"/>
      <c r="M426" s="184">
        <f t="shared" si="34"/>
        <v>1.4000000082887709E-3</v>
      </c>
      <c r="N426" s="202"/>
      <c r="O426" s="283" t="s">
        <v>680</v>
      </c>
      <c r="P426" s="176"/>
      <c r="Q426" s="177"/>
      <c r="R426" s="132"/>
      <c r="S426" s="18"/>
      <c r="T426" s="2"/>
      <c r="U426" s="2"/>
      <c r="V426" s="2"/>
    </row>
    <row r="427" spans="1:22" s="8" customFormat="1" ht="17.25" outlineLevel="1" thickBot="1" x14ac:dyDescent="0.3">
      <c r="A427" s="1006" t="s">
        <v>628</v>
      </c>
      <c r="B427" s="1007"/>
      <c r="C427" s="454"/>
      <c r="D427" s="365">
        <f>SUM(D425:D426)</f>
        <v>1509794.0486000001</v>
      </c>
      <c r="E427" s="239"/>
      <c r="F427" s="239"/>
      <c r="G427" s="366">
        <f>SUM(G425:G426)</f>
        <v>2191381.41</v>
      </c>
      <c r="H427" s="309"/>
      <c r="I427" s="494"/>
      <c r="J427" s="365">
        <f>SUM(J425:J426)</f>
        <v>1509794.05</v>
      </c>
      <c r="K427" s="365">
        <f>SUM(K425:K426)</f>
        <v>1509794.0418799999</v>
      </c>
      <c r="L427" s="367"/>
      <c r="M427" s="365"/>
      <c r="N427" s="368">
        <f>AVERAGE(N425:N426)</f>
        <v>1</v>
      </c>
      <c r="O427" s="455"/>
      <c r="P427" s="176"/>
      <c r="Q427" s="177"/>
      <c r="R427" s="132"/>
      <c r="S427" s="18"/>
      <c r="T427" s="2"/>
      <c r="U427" s="2"/>
      <c r="V427" s="2"/>
    </row>
    <row r="428" spans="1:22" s="6" customFormat="1" ht="40.5" customHeight="1" x14ac:dyDescent="0.25">
      <c r="A428" s="1008">
        <v>31</v>
      </c>
      <c r="B428" s="1004" t="s">
        <v>114</v>
      </c>
      <c r="C428" s="162" t="s">
        <v>35</v>
      </c>
      <c r="D428" s="499">
        <v>139744.15100000001</v>
      </c>
      <c r="E428" s="984" t="s">
        <v>744</v>
      </c>
      <c r="F428" s="984" t="s">
        <v>596</v>
      </c>
      <c r="G428" s="353">
        <v>393253.34</v>
      </c>
      <c r="H428" s="975">
        <v>42475</v>
      </c>
      <c r="I428" s="161">
        <v>42444</v>
      </c>
      <c r="J428" s="162">
        <v>139741.51</v>
      </c>
      <c r="K428" s="162">
        <v>139741.51</v>
      </c>
      <c r="L428" s="161"/>
      <c r="M428" s="487">
        <f t="shared" ref="M428:M430" si="35">J428-D428</f>
        <v>-2.6410000000032596</v>
      </c>
      <c r="N428" s="200">
        <v>1</v>
      </c>
      <c r="O428" s="456"/>
      <c r="P428" s="176"/>
      <c r="Q428" s="177"/>
      <c r="R428" s="132"/>
      <c r="S428" s="18"/>
      <c r="T428" s="9"/>
      <c r="U428" s="9"/>
      <c r="V428" s="9"/>
    </row>
    <row r="429" spans="1:22" s="8" customFormat="1" ht="16.5" outlineLevel="1" x14ac:dyDescent="0.25">
      <c r="A429" s="1009"/>
      <c r="B429" s="1005"/>
      <c r="C429" s="163" t="s">
        <v>36</v>
      </c>
      <c r="D429" s="490">
        <v>171378.63</v>
      </c>
      <c r="E429" s="986"/>
      <c r="F429" s="986"/>
      <c r="G429" s="354">
        <v>401782.09</v>
      </c>
      <c r="H429" s="977"/>
      <c r="I429" s="212">
        <v>42444</v>
      </c>
      <c r="J429" s="275">
        <v>171378.63</v>
      </c>
      <c r="K429" s="163">
        <v>171378.63</v>
      </c>
      <c r="L429" s="210"/>
      <c r="M429" s="316">
        <f t="shared" si="35"/>
        <v>0</v>
      </c>
      <c r="N429" s="213">
        <v>1</v>
      </c>
      <c r="O429" s="491"/>
      <c r="P429" s="176"/>
      <c r="Q429" s="177"/>
      <c r="R429" s="132"/>
      <c r="S429" s="18"/>
      <c r="T429" s="2"/>
      <c r="U429" s="2"/>
      <c r="V429" s="2"/>
    </row>
    <row r="430" spans="1:22" s="8" customFormat="1" ht="49.5" outlineLevel="1" x14ac:dyDescent="0.25">
      <c r="A430" s="1009"/>
      <c r="B430" s="1005"/>
      <c r="C430" s="294" t="s">
        <v>37</v>
      </c>
      <c r="D430" s="180">
        <v>36790.379999999997</v>
      </c>
      <c r="E430" s="181" t="s">
        <v>547</v>
      </c>
      <c r="F430" s="181" t="s">
        <v>548</v>
      </c>
      <c r="G430" s="182">
        <v>86610.57</v>
      </c>
      <c r="H430" s="183">
        <v>42381</v>
      </c>
      <c r="I430" s="183">
        <v>42381</v>
      </c>
      <c r="J430" s="184">
        <v>36790.379999999997</v>
      </c>
      <c r="K430" s="184">
        <v>36790.384831999996</v>
      </c>
      <c r="L430" s="183"/>
      <c r="M430" s="184">
        <f t="shared" si="35"/>
        <v>0</v>
      </c>
      <c r="N430" s="202"/>
      <c r="O430" s="283" t="s">
        <v>680</v>
      </c>
      <c r="P430" s="176"/>
      <c r="Q430" s="177"/>
      <c r="R430" s="132"/>
      <c r="S430" s="18"/>
      <c r="T430" s="2"/>
      <c r="U430" s="2"/>
      <c r="V430" s="2"/>
    </row>
    <row r="431" spans="1:22" s="8" customFormat="1" ht="17.25" outlineLevel="1" thickBot="1" x14ac:dyDescent="0.3">
      <c r="A431" s="1006" t="s">
        <v>628</v>
      </c>
      <c r="B431" s="1007"/>
      <c r="C431" s="454"/>
      <c r="D431" s="365">
        <f>SUM(D428:D430)</f>
        <v>347913.16100000002</v>
      </c>
      <c r="E431" s="188"/>
      <c r="F431" s="188"/>
      <c r="G431" s="366">
        <f>SUM(G428:G430)</f>
        <v>881646</v>
      </c>
      <c r="H431" s="192"/>
      <c r="I431" s="494"/>
      <c r="J431" s="365">
        <f>SUM(J428:J430)</f>
        <v>347910.52</v>
      </c>
      <c r="K431" s="365">
        <f>SUM(K428:K430)</f>
        <v>347910.52483200002</v>
      </c>
      <c r="L431" s="367"/>
      <c r="M431" s="365"/>
      <c r="N431" s="368">
        <f>AVERAGE(N428:N430)</f>
        <v>1</v>
      </c>
      <c r="O431" s="455"/>
      <c r="P431" s="176"/>
      <c r="Q431" s="177"/>
      <c r="R431" s="168"/>
      <c r="S431" s="19"/>
      <c r="T431" s="2"/>
      <c r="U431" s="2"/>
      <c r="V431" s="2"/>
    </row>
    <row r="432" spans="1:22" s="6" customFormat="1" ht="66" x14ac:dyDescent="0.25">
      <c r="A432" s="517">
        <v>32</v>
      </c>
      <c r="B432" s="518" t="s">
        <v>130</v>
      </c>
      <c r="C432" s="275" t="s">
        <v>500</v>
      </c>
      <c r="D432" s="275">
        <v>1300645.5900000001</v>
      </c>
      <c r="E432" s="273" t="s">
        <v>738</v>
      </c>
      <c r="F432" s="273" t="s">
        <v>656</v>
      </c>
      <c r="G432" s="486">
        <v>1413068.88</v>
      </c>
      <c r="H432" s="212">
        <v>42397</v>
      </c>
      <c r="I432" s="212">
        <v>42397</v>
      </c>
      <c r="J432" s="275">
        <v>1300645.5899999999</v>
      </c>
      <c r="K432" s="275">
        <v>1300645.5900000001</v>
      </c>
      <c r="L432" s="212"/>
      <c r="M432" s="498">
        <f t="shared" ref="M432" si="36">J432-D432</f>
        <v>0</v>
      </c>
      <c r="N432" s="488">
        <v>1</v>
      </c>
      <c r="O432" s="489"/>
      <c r="P432" s="176"/>
      <c r="Q432" s="177"/>
      <c r="R432" s="132"/>
      <c r="S432" s="18"/>
      <c r="T432" s="9"/>
      <c r="U432" s="9"/>
      <c r="V432" s="9"/>
    </row>
    <row r="433" spans="1:22" s="8" customFormat="1" ht="17.25" outlineLevel="1" thickBot="1" x14ac:dyDescent="0.3">
      <c r="A433" s="1006" t="s">
        <v>628</v>
      </c>
      <c r="B433" s="1007"/>
      <c r="C433" s="454"/>
      <c r="D433" s="365">
        <f>SUM(D432:D432)</f>
        <v>1300645.5900000001</v>
      </c>
      <c r="E433" s="239"/>
      <c r="F433" s="239"/>
      <c r="G433" s="366">
        <f>SUM(G432:G432)</f>
        <v>1413068.88</v>
      </c>
      <c r="H433" s="309"/>
      <c r="I433" s="321"/>
      <c r="J433" s="365">
        <f>SUM(J432:J432)</f>
        <v>1300645.5899999999</v>
      </c>
      <c r="K433" s="365">
        <f>SUM(K432:K432)</f>
        <v>1300645.5900000001</v>
      </c>
      <c r="L433" s="367"/>
      <c r="M433" s="365"/>
      <c r="N433" s="368">
        <f>AVERAGE(N432)</f>
        <v>1</v>
      </c>
      <c r="O433" s="455"/>
      <c r="P433" s="176"/>
      <c r="Q433" s="177"/>
      <c r="R433" s="132"/>
      <c r="S433" s="18"/>
      <c r="T433" s="2"/>
      <c r="U433" s="2"/>
      <c r="V433" s="2"/>
    </row>
    <row r="434" spans="1:22" s="6" customFormat="1" ht="33" x14ac:dyDescent="0.25">
      <c r="A434" s="1008">
        <v>33</v>
      </c>
      <c r="B434" s="1004" t="s">
        <v>131</v>
      </c>
      <c r="C434" s="162" t="s">
        <v>500</v>
      </c>
      <c r="D434" s="162">
        <v>4161347.06</v>
      </c>
      <c r="E434" s="197" t="s">
        <v>841</v>
      </c>
      <c r="F434" s="197" t="s">
        <v>840</v>
      </c>
      <c r="G434" s="353">
        <v>3794665.71</v>
      </c>
      <c r="H434" s="161">
        <v>42564</v>
      </c>
      <c r="I434" s="161">
        <v>42545</v>
      </c>
      <c r="J434" s="162">
        <v>4161347.06</v>
      </c>
      <c r="K434" s="162">
        <v>4161347.06</v>
      </c>
      <c r="L434" s="161"/>
      <c r="M434" s="316">
        <f t="shared" ref="M434:M435" si="37">J434-D434</f>
        <v>0</v>
      </c>
      <c r="N434" s="200">
        <v>1</v>
      </c>
      <c r="O434" s="500"/>
      <c r="P434" s="176"/>
      <c r="Q434" s="177"/>
      <c r="R434" s="132"/>
      <c r="S434" s="18"/>
      <c r="T434" s="9"/>
      <c r="U434" s="9"/>
      <c r="V434" s="9"/>
    </row>
    <row r="435" spans="1:22" s="8" customFormat="1" ht="49.5" outlineLevel="1" x14ac:dyDescent="0.25">
      <c r="A435" s="1009"/>
      <c r="B435" s="1005"/>
      <c r="C435" s="294" t="s">
        <v>37</v>
      </c>
      <c r="D435" s="180">
        <f>79166.3*1.18</f>
        <v>93416.233999999997</v>
      </c>
      <c r="E435" s="181" t="s">
        <v>555</v>
      </c>
      <c r="F435" s="181" t="s">
        <v>554</v>
      </c>
      <c r="G435" s="182">
        <f>79166.3*1.18</f>
        <v>93416.233999999997</v>
      </c>
      <c r="H435" s="183">
        <v>42429</v>
      </c>
      <c r="I435" s="183">
        <v>42429</v>
      </c>
      <c r="J435" s="184">
        <v>93416.23</v>
      </c>
      <c r="K435" s="184">
        <v>93416.23</v>
      </c>
      <c r="L435" s="183"/>
      <c r="M435" s="184">
        <f t="shared" si="37"/>
        <v>-4.0000000008149073E-3</v>
      </c>
      <c r="N435" s="202"/>
      <c r="O435" s="283" t="s">
        <v>680</v>
      </c>
      <c r="P435" s="176"/>
      <c r="Q435" s="177"/>
      <c r="R435" s="132"/>
      <c r="S435" s="18"/>
      <c r="T435" s="2"/>
      <c r="U435" s="2"/>
      <c r="V435" s="2"/>
    </row>
    <row r="436" spans="1:22" s="8" customFormat="1" ht="17.25" outlineLevel="1" thickBot="1" x14ac:dyDescent="0.3">
      <c r="A436" s="1006" t="s">
        <v>628</v>
      </c>
      <c r="B436" s="1007"/>
      <c r="C436" s="454"/>
      <c r="D436" s="365">
        <f>SUM(D434:D435)</f>
        <v>4254763.2939999998</v>
      </c>
      <c r="E436" s="188"/>
      <c r="F436" s="188"/>
      <c r="G436" s="366">
        <f>SUM(G434:G435)</f>
        <v>3888081.9440000001</v>
      </c>
      <c r="H436" s="192"/>
      <c r="I436" s="190"/>
      <c r="J436" s="365">
        <f>SUM(J434:J435)</f>
        <v>4254763.29</v>
      </c>
      <c r="K436" s="365">
        <f>SUM(K434:K435)</f>
        <v>4254763.29</v>
      </c>
      <c r="L436" s="367"/>
      <c r="M436" s="365"/>
      <c r="N436" s="368">
        <f>AVERAGE(N434:N435)</f>
        <v>1</v>
      </c>
      <c r="O436" s="455"/>
      <c r="P436" s="176"/>
      <c r="Q436" s="177"/>
      <c r="R436" s="168"/>
      <c r="S436" s="19"/>
      <c r="T436" s="2"/>
      <c r="U436" s="2"/>
      <c r="V436" s="2"/>
    </row>
    <row r="437" spans="1:22" s="6" customFormat="1" ht="82.5" x14ac:dyDescent="0.25">
      <c r="A437" s="501">
        <v>34</v>
      </c>
      <c r="B437" s="465" t="s">
        <v>132</v>
      </c>
      <c r="C437" s="162" t="s">
        <v>500</v>
      </c>
      <c r="D437" s="162">
        <v>2940083.28</v>
      </c>
      <c r="E437" s="161" t="s">
        <v>601</v>
      </c>
      <c r="F437" s="161" t="s">
        <v>602</v>
      </c>
      <c r="G437" s="353">
        <v>2744159.62</v>
      </c>
      <c r="H437" s="161">
        <v>42399</v>
      </c>
      <c r="I437" s="161">
        <v>42410</v>
      </c>
      <c r="J437" s="162">
        <v>2940083.2800000003</v>
      </c>
      <c r="K437" s="162">
        <v>2940083.2700000005</v>
      </c>
      <c r="L437" s="161"/>
      <c r="M437" s="316">
        <f t="shared" ref="M437" si="38">J437-D437</f>
        <v>0</v>
      </c>
      <c r="N437" s="200">
        <v>1</v>
      </c>
      <c r="O437" s="456"/>
      <c r="P437" s="176"/>
      <c r="Q437" s="177"/>
      <c r="R437" s="132"/>
      <c r="S437" s="18"/>
      <c r="T437" s="9"/>
      <c r="U437" s="9"/>
      <c r="V437" s="9"/>
    </row>
    <row r="438" spans="1:22" s="8" customFormat="1" ht="17.25" outlineLevel="1" thickBot="1" x14ac:dyDescent="0.3">
      <c r="A438" s="1010" t="s">
        <v>628</v>
      </c>
      <c r="B438" s="1011"/>
      <c r="C438" s="461"/>
      <c r="D438" s="378">
        <f>SUM(D437:D437)</f>
        <v>2940083.28</v>
      </c>
      <c r="E438" s="247"/>
      <c r="F438" s="247"/>
      <c r="G438" s="379">
        <f>SUM(G437:G437)</f>
        <v>2744159.62</v>
      </c>
      <c r="H438" s="308"/>
      <c r="I438" s="277"/>
      <c r="J438" s="378">
        <f>SUM(J437:J437)</f>
        <v>2940083.2800000003</v>
      </c>
      <c r="K438" s="378">
        <f>SUM(K437:K437)</f>
        <v>2940083.2700000005</v>
      </c>
      <c r="L438" s="380"/>
      <c r="M438" s="378"/>
      <c r="N438" s="395">
        <f>AVERAGE(N437)</f>
        <v>1</v>
      </c>
      <c r="O438" s="462"/>
      <c r="P438" s="176"/>
      <c r="Q438" s="497"/>
      <c r="R438" s="496"/>
      <c r="S438" s="20"/>
      <c r="T438" s="2"/>
      <c r="U438" s="2"/>
      <c r="V438" s="2"/>
    </row>
    <row r="439" spans="1:22" s="6" customFormat="1" ht="33" x14ac:dyDescent="0.25">
      <c r="A439" s="1008">
        <v>35</v>
      </c>
      <c r="B439" s="1004" t="s">
        <v>133</v>
      </c>
      <c r="C439" s="162" t="s">
        <v>500</v>
      </c>
      <c r="D439" s="162">
        <v>5845595.2000000002</v>
      </c>
      <c r="E439" s="197" t="s">
        <v>891</v>
      </c>
      <c r="F439" s="197" t="s">
        <v>892</v>
      </c>
      <c r="G439" s="353">
        <v>6420332.75</v>
      </c>
      <c r="H439" s="161">
        <v>42582</v>
      </c>
      <c r="I439" s="161">
        <v>42615</v>
      </c>
      <c r="J439" s="162">
        <v>5845595.2000000002</v>
      </c>
      <c r="K439" s="162">
        <v>5845595.2000000002</v>
      </c>
      <c r="L439" s="161"/>
      <c r="M439" s="162"/>
      <c r="N439" s="200">
        <v>1</v>
      </c>
      <c r="O439" s="453"/>
      <c r="P439" s="176"/>
      <c r="Q439" s="177"/>
      <c r="R439" s="132"/>
      <c r="S439" s="18"/>
      <c r="T439" s="9"/>
      <c r="U439" s="9"/>
      <c r="V439" s="9"/>
    </row>
    <row r="440" spans="1:22" s="8" customFormat="1" ht="49.5" outlineLevel="1" x14ac:dyDescent="0.25">
      <c r="A440" s="1009"/>
      <c r="B440" s="1005"/>
      <c r="C440" s="294" t="s">
        <v>37</v>
      </c>
      <c r="D440" s="180">
        <f>97078.59*1.18</f>
        <v>114552.73619999998</v>
      </c>
      <c r="E440" s="181" t="s">
        <v>555</v>
      </c>
      <c r="F440" s="181" t="s">
        <v>554</v>
      </c>
      <c r="G440" s="182">
        <f>97078.59*1.18</f>
        <v>114552.73619999998</v>
      </c>
      <c r="H440" s="183">
        <v>42429</v>
      </c>
      <c r="I440" s="183">
        <v>42429</v>
      </c>
      <c r="J440" s="184">
        <v>114552.74</v>
      </c>
      <c r="K440" s="184">
        <v>114552.74</v>
      </c>
      <c r="L440" s="183"/>
      <c r="M440" s="184">
        <f t="shared" ref="M440" si="39">J440-D440</f>
        <v>3.8000000204192474E-3</v>
      </c>
      <c r="N440" s="202"/>
      <c r="O440" s="283" t="s">
        <v>754</v>
      </c>
      <c r="P440" s="176"/>
      <c r="Q440" s="177"/>
      <c r="R440" s="132"/>
      <c r="S440" s="18"/>
      <c r="T440" s="2"/>
      <c r="U440" s="2"/>
      <c r="V440" s="2"/>
    </row>
    <row r="441" spans="1:22" s="8" customFormat="1" ht="17.25" outlineLevel="1" thickBot="1" x14ac:dyDescent="0.3">
      <c r="A441" s="1006" t="s">
        <v>628</v>
      </c>
      <c r="B441" s="1007"/>
      <c r="C441" s="454"/>
      <c r="D441" s="365">
        <f>SUM(D439:D440)</f>
        <v>5960147.9362000003</v>
      </c>
      <c r="E441" s="188"/>
      <c r="F441" s="188"/>
      <c r="G441" s="366">
        <f>SUM(G439:G440)</f>
        <v>6534885.4862000002</v>
      </c>
      <c r="H441" s="192"/>
      <c r="I441" s="190"/>
      <c r="J441" s="365">
        <f>SUM(J439:J440)</f>
        <v>5960147.9400000004</v>
      </c>
      <c r="K441" s="365">
        <f>SUM(K439:K440)</f>
        <v>5960147.9400000004</v>
      </c>
      <c r="L441" s="367"/>
      <c r="M441" s="365"/>
      <c r="N441" s="368">
        <f>AVERAGE(N439:N440)</f>
        <v>1</v>
      </c>
      <c r="O441" s="455"/>
      <c r="P441" s="176"/>
      <c r="Q441" s="177"/>
      <c r="R441" s="168"/>
      <c r="S441" s="19"/>
      <c r="T441" s="2"/>
      <c r="U441" s="2"/>
      <c r="V441" s="2"/>
    </row>
    <row r="442" spans="1:22" s="6" customFormat="1" ht="33" x14ac:dyDescent="0.25">
      <c r="A442" s="1008">
        <v>36</v>
      </c>
      <c r="B442" s="1004" t="s">
        <v>134</v>
      </c>
      <c r="C442" s="162" t="s">
        <v>500</v>
      </c>
      <c r="D442" s="162">
        <v>12792831.83</v>
      </c>
      <c r="E442" s="197" t="s">
        <v>841</v>
      </c>
      <c r="F442" s="197" t="s">
        <v>840</v>
      </c>
      <c r="G442" s="353">
        <v>12624790.560000001</v>
      </c>
      <c r="H442" s="161">
        <v>42564</v>
      </c>
      <c r="I442" s="161">
        <v>42556</v>
      </c>
      <c r="J442" s="162">
        <v>12792831.83</v>
      </c>
      <c r="K442" s="162">
        <v>12792831.83</v>
      </c>
      <c r="L442" s="161"/>
      <c r="M442" s="316">
        <f t="shared" ref="M442:M443" si="40">J442-D442</f>
        <v>0</v>
      </c>
      <c r="N442" s="200">
        <v>1</v>
      </c>
      <c r="O442" s="453"/>
      <c r="P442" s="176"/>
      <c r="Q442" s="177"/>
      <c r="R442" s="132"/>
      <c r="S442" s="18"/>
      <c r="T442" s="9"/>
      <c r="U442" s="9"/>
      <c r="V442" s="9"/>
    </row>
    <row r="443" spans="1:22" s="8" customFormat="1" ht="49.5" outlineLevel="1" x14ac:dyDescent="0.25">
      <c r="A443" s="1009"/>
      <c r="B443" s="1005"/>
      <c r="C443" s="294" t="s">
        <v>37</v>
      </c>
      <c r="D443" s="180">
        <f>112071.52*1.18</f>
        <v>132244.39360000001</v>
      </c>
      <c r="E443" s="181" t="s">
        <v>555</v>
      </c>
      <c r="F443" s="181" t="s">
        <v>554</v>
      </c>
      <c r="G443" s="182">
        <f>112071.52*1.18</f>
        <v>132244.39360000001</v>
      </c>
      <c r="H443" s="183">
        <v>42429</v>
      </c>
      <c r="I443" s="183">
        <v>42429</v>
      </c>
      <c r="J443" s="184">
        <v>132244.39000000001</v>
      </c>
      <c r="K443" s="184">
        <v>132244.38999999998</v>
      </c>
      <c r="L443" s="183"/>
      <c r="M443" s="184">
        <f t="shared" si="40"/>
        <v>-3.599999996367842E-3</v>
      </c>
      <c r="N443" s="202"/>
      <c r="O443" s="283" t="s">
        <v>683</v>
      </c>
      <c r="P443" s="176"/>
      <c r="Q443" s="177"/>
      <c r="R443" s="132"/>
      <c r="S443" s="18"/>
      <c r="T443" s="2"/>
      <c r="U443" s="2"/>
      <c r="V443" s="2"/>
    </row>
    <row r="444" spans="1:22" s="8" customFormat="1" ht="17.25" outlineLevel="1" thickBot="1" x14ac:dyDescent="0.3">
      <c r="A444" s="1006" t="s">
        <v>628</v>
      </c>
      <c r="B444" s="1007"/>
      <c r="C444" s="454"/>
      <c r="D444" s="365">
        <f>SUM(D442:D443)</f>
        <v>12925076.2236</v>
      </c>
      <c r="E444" s="239"/>
      <c r="F444" s="239"/>
      <c r="G444" s="366">
        <f>SUM(G442:G443)</f>
        <v>12757034.953600001</v>
      </c>
      <c r="H444" s="309"/>
      <c r="I444" s="321"/>
      <c r="J444" s="365">
        <f>SUM(J442:J443)</f>
        <v>12925076.220000001</v>
      </c>
      <c r="K444" s="365">
        <f>SUM(K442:K443)</f>
        <v>12925076.220000001</v>
      </c>
      <c r="L444" s="367"/>
      <c r="M444" s="365"/>
      <c r="N444" s="368">
        <f>AVERAGE(N442:N443)</f>
        <v>1</v>
      </c>
      <c r="O444" s="455"/>
      <c r="P444" s="176"/>
      <c r="Q444" s="177"/>
      <c r="R444" s="132"/>
      <c r="S444" s="18"/>
      <c r="T444" s="2"/>
      <c r="U444" s="2"/>
      <c r="V444" s="2"/>
    </row>
    <row r="445" spans="1:22" s="6" customFormat="1" ht="33" x14ac:dyDescent="0.25">
      <c r="A445" s="1008">
        <v>37</v>
      </c>
      <c r="B445" s="1004" t="s">
        <v>135</v>
      </c>
      <c r="C445" s="162" t="s">
        <v>500</v>
      </c>
      <c r="D445" s="162">
        <v>5803718.9400000004</v>
      </c>
      <c r="E445" s="197" t="s">
        <v>823</v>
      </c>
      <c r="F445" s="197" t="s">
        <v>824</v>
      </c>
      <c r="G445" s="353">
        <v>6264464.3899999997</v>
      </c>
      <c r="H445" s="161">
        <v>42515</v>
      </c>
      <c r="I445" s="161">
        <v>42522</v>
      </c>
      <c r="J445" s="162">
        <v>5803718.9403839996</v>
      </c>
      <c r="K445" s="162">
        <v>5803718.9403839996</v>
      </c>
      <c r="L445" s="161"/>
      <c r="M445" s="316">
        <f t="shared" ref="M445:M446" si="41">J445-D445</f>
        <v>3.8399919867515564E-4</v>
      </c>
      <c r="N445" s="200">
        <v>1</v>
      </c>
      <c r="O445" s="456"/>
      <c r="P445" s="176"/>
      <c r="Q445" s="177"/>
      <c r="R445" s="132"/>
      <c r="S445" s="18"/>
      <c r="T445" s="9"/>
      <c r="U445" s="9"/>
      <c r="V445" s="9"/>
    </row>
    <row r="446" spans="1:22" s="8" customFormat="1" ht="49.5" outlineLevel="1" x14ac:dyDescent="0.25">
      <c r="A446" s="1009"/>
      <c r="B446" s="1005"/>
      <c r="C446" s="294" t="s">
        <v>37</v>
      </c>
      <c r="D446" s="180">
        <v>106268.13</v>
      </c>
      <c r="E446" s="181" t="s">
        <v>557</v>
      </c>
      <c r="F446" s="181" t="s">
        <v>548</v>
      </c>
      <c r="G446" s="182">
        <v>106268.12</v>
      </c>
      <c r="H446" s="183">
        <v>42424</v>
      </c>
      <c r="I446" s="183">
        <v>42415</v>
      </c>
      <c r="J446" s="184">
        <v>106268.13</v>
      </c>
      <c r="K446" s="184">
        <v>106268.13</v>
      </c>
      <c r="L446" s="183"/>
      <c r="M446" s="184">
        <f t="shared" si="41"/>
        <v>0</v>
      </c>
      <c r="N446" s="202"/>
      <c r="O446" s="283" t="s">
        <v>685</v>
      </c>
      <c r="P446" s="176"/>
      <c r="Q446" s="177"/>
      <c r="R446" s="132"/>
      <c r="S446" s="18"/>
      <c r="T446" s="2"/>
      <c r="U446" s="2"/>
      <c r="V446" s="2"/>
    </row>
    <row r="447" spans="1:22" s="8" customFormat="1" ht="17.25" outlineLevel="1" thickBot="1" x14ac:dyDescent="0.3">
      <c r="A447" s="1010" t="s">
        <v>628</v>
      </c>
      <c r="B447" s="1011"/>
      <c r="C447" s="461"/>
      <c r="D447" s="365">
        <f>SUM(D445:D446)</f>
        <v>5909987.0700000003</v>
      </c>
      <c r="E447" s="247"/>
      <c r="F447" s="247"/>
      <c r="G447" s="366">
        <f>SUM(G445:G446)</f>
        <v>6370732.5099999998</v>
      </c>
      <c r="H447" s="308"/>
      <c r="I447" s="277"/>
      <c r="J447" s="365">
        <f>SUM(J445:J446)</f>
        <v>5909987.0703839995</v>
      </c>
      <c r="K447" s="365">
        <f>SUM(K445:K446)</f>
        <v>5909987.0703839995</v>
      </c>
      <c r="L447" s="380"/>
      <c r="M447" s="378"/>
      <c r="N447" s="368">
        <f>AVERAGE(N445:N446)</f>
        <v>1</v>
      </c>
      <c r="O447" s="462"/>
      <c r="P447" s="176"/>
      <c r="Q447" s="177"/>
      <c r="R447" s="132"/>
      <c r="S447" s="18"/>
      <c r="T447" s="2"/>
      <c r="U447" s="2"/>
      <c r="V447" s="2"/>
    </row>
    <row r="448" spans="1:22" s="6" customFormat="1" ht="33" x14ac:dyDescent="0.25">
      <c r="A448" s="1008">
        <v>38</v>
      </c>
      <c r="B448" s="1004" t="s">
        <v>136</v>
      </c>
      <c r="C448" s="162" t="s">
        <v>500</v>
      </c>
      <c r="D448" s="162">
        <v>5741028.2800000003</v>
      </c>
      <c r="E448" s="197" t="s">
        <v>810</v>
      </c>
      <c r="F448" s="197" t="s">
        <v>752</v>
      </c>
      <c r="G448" s="353">
        <v>5741089.1100000003</v>
      </c>
      <c r="H448" s="161">
        <v>42541</v>
      </c>
      <c r="I448" s="161">
        <v>42681</v>
      </c>
      <c r="J448" s="519">
        <v>5741028.2800000003</v>
      </c>
      <c r="K448" s="162">
        <v>5741028.2800000003</v>
      </c>
      <c r="L448" s="161">
        <v>42696</v>
      </c>
      <c r="M448" s="162"/>
      <c r="N448" s="200">
        <v>1</v>
      </c>
      <c r="O448" s="453"/>
      <c r="P448" s="176"/>
      <c r="Q448" s="177" t="s">
        <v>1099</v>
      </c>
      <c r="R448" s="132"/>
      <c r="S448" s="18"/>
      <c r="T448" s="9"/>
      <c r="U448" s="9"/>
      <c r="V448" s="9"/>
    </row>
    <row r="449" spans="1:22" s="6" customFormat="1" ht="33" x14ac:dyDescent="0.25">
      <c r="A449" s="1063"/>
      <c r="B449" s="1060"/>
      <c r="C449" s="275" t="s">
        <v>1009</v>
      </c>
      <c r="D449" s="275">
        <v>1030578</v>
      </c>
      <c r="E449" s="273" t="s">
        <v>1010</v>
      </c>
      <c r="F449" s="273" t="s">
        <v>752</v>
      </c>
      <c r="G449" s="486">
        <v>1182142.8799999999</v>
      </c>
      <c r="H449" s="212">
        <v>42613</v>
      </c>
      <c r="I449" s="212">
        <v>42618</v>
      </c>
      <c r="J449" s="163">
        <v>1030578</v>
      </c>
      <c r="K449" s="163">
        <v>1030578</v>
      </c>
      <c r="L449" s="212"/>
      <c r="M449" s="275"/>
      <c r="N449" s="488">
        <v>1</v>
      </c>
      <c r="O449" s="520"/>
      <c r="P449" s="176"/>
      <c r="Q449" s="177"/>
      <c r="R449" s="132"/>
      <c r="S449" s="18"/>
      <c r="T449" s="9"/>
      <c r="U449" s="9"/>
      <c r="V449" s="9"/>
    </row>
    <row r="450" spans="1:22" s="8" customFormat="1" ht="49.5" outlineLevel="1" x14ac:dyDescent="0.25">
      <c r="A450" s="1009"/>
      <c r="B450" s="1005"/>
      <c r="C450" s="294" t="s">
        <v>37</v>
      </c>
      <c r="D450" s="180">
        <f>77894.13*1.18</f>
        <v>91915.073399999994</v>
      </c>
      <c r="E450" s="181" t="s">
        <v>557</v>
      </c>
      <c r="F450" s="181" t="s">
        <v>548</v>
      </c>
      <c r="G450" s="182">
        <f>77894.13*1.18</f>
        <v>91915.073399999994</v>
      </c>
      <c r="H450" s="183">
        <v>42424</v>
      </c>
      <c r="I450" s="183">
        <v>42415</v>
      </c>
      <c r="J450" s="184">
        <v>91915.07</v>
      </c>
      <c r="K450" s="184">
        <v>91915.069999999992</v>
      </c>
      <c r="L450" s="183"/>
      <c r="M450" s="184">
        <f t="shared" ref="M450" si="42">J450-D450</f>
        <v>-3.3999999868683517E-3</v>
      </c>
      <c r="N450" s="202"/>
      <c r="O450" s="283" t="s">
        <v>754</v>
      </c>
      <c r="P450" s="176"/>
      <c r="Q450" s="177"/>
      <c r="R450" s="132"/>
      <c r="S450" s="18"/>
      <c r="T450" s="2"/>
      <c r="U450" s="2"/>
      <c r="V450" s="2"/>
    </row>
    <row r="451" spans="1:22" s="8" customFormat="1" ht="17.25" outlineLevel="1" thickBot="1" x14ac:dyDescent="0.3">
      <c r="A451" s="1006" t="s">
        <v>628</v>
      </c>
      <c r="B451" s="1007"/>
      <c r="C451" s="454"/>
      <c r="D451" s="365">
        <f>SUM(D448:D450)</f>
        <v>6863521.3534000004</v>
      </c>
      <c r="E451" s="239"/>
      <c r="F451" s="239"/>
      <c r="G451" s="366">
        <f>SUM(G448:G450)</f>
        <v>7015147.0634000003</v>
      </c>
      <c r="H451" s="309"/>
      <c r="I451" s="321"/>
      <c r="J451" s="365">
        <f>SUM(J448:J450)</f>
        <v>6863521.3500000006</v>
      </c>
      <c r="K451" s="365">
        <f>SUM(K448:K450)</f>
        <v>6863521.3500000006</v>
      </c>
      <c r="L451" s="367"/>
      <c r="M451" s="365"/>
      <c r="N451" s="368">
        <f>AVERAGE(N448:N450)</f>
        <v>1</v>
      </c>
      <c r="O451" s="455"/>
      <c r="P451" s="176"/>
      <c r="Q451" s="177"/>
      <c r="R451" s="132"/>
      <c r="S451" s="18"/>
      <c r="T451" s="2"/>
      <c r="U451" s="2"/>
      <c r="V451" s="2"/>
    </row>
    <row r="452" spans="1:22" s="6" customFormat="1" ht="33.75" customHeight="1" x14ac:dyDescent="0.25">
      <c r="A452" s="1008">
        <v>39</v>
      </c>
      <c r="B452" s="1004" t="s">
        <v>116</v>
      </c>
      <c r="C452" s="162" t="s">
        <v>34</v>
      </c>
      <c r="D452" s="162">
        <v>6325272.96</v>
      </c>
      <c r="E452" s="197" t="s">
        <v>811</v>
      </c>
      <c r="F452" s="197" t="s">
        <v>752</v>
      </c>
      <c r="G452" s="353">
        <v>7048874.8799999999</v>
      </c>
      <c r="H452" s="161">
        <v>42536</v>
      </c>
      <c r="I452" s="161">
        <v>42536</v>
      </c>
      <c r="J452" s="162">
        <v>6325272.96</v>
      </c>
      <c r="K452" s="162">
        <v>6325272.96</v>
      </c>
      <c r="L452" s="161"/>
      <c r="M452" s="316">
        <f>J452-D452</f>
        <v>0</v>
      </c>
      <c r="N452" s="200">
        <v>1</v>
      </c>
      <c r="O452" s="453"/>
      <c r="P452" s="176"/>
      <c r="Q452" s="177"/>
      <c r="R452" s="132"/>
      <c r="S452" s="18"/>
      <c r="T452" s="9"/>
      <c r="U452" s="9"/>
      <c r="V452" s="9"/>
    </row>
    <row r="453" spans="1:22" s="8" customFormat="1" ht="33" outlineLevel="1" x14ac:dyDescent="0.25">
      <c r="A453" s="1009"/>
      <c r="B453" s="1005"/>
      <c r="C453" s="303" t="s">
        <v>501</v>
      </c>
      <c r="D453" s="303">
        <v>7189423.7599999998</v>
      </c>
      <c r="E453" s="337" t="s">
        <v>1188</v>
      </c>
      <c r="F453" s="432" t="s">
        <v>1189</v>
      </c>
      <c r="G453" s="459">
        <v>7189423.7599999998</v>
      </c>
      <c r="H453" s="171">
        <v>42916</v>
      </c>
      <c r="I453" s="172"/>
      <c r="J453" s="173"/>
      <c r="K453" s="173"/>
      <c r="L453" s="171"/>
      <c r="M453" s="173"/>
      <c r="N453" s="460">
        <v>0</v>
      </c>
      <c r="O453" s="300"/>
      <c r="P453" s="176">
        <v>2017</v>
      </c>
      <c r="Q453" s="177"/>
      <c r="R453" s="132"/>
      <c r="S453" s="18"/>
      <c r="T453" s="2"/>
      <c r="U453" s="2"/>
      <c r="V453" s="2"/>
    </row>
    <row r="454" spans="1:22" s="8" customFormat="1" ht="49.5" outlineLevel="1" x14ac:dyDescent="0.25">
      <c r="A454" s="1009"/>
      <c r="B454" s="1005"/>
      <c r="C454" s="294" t="s">
        <v>37</v>
      </c>
      <c r="D454" s="180">
        <f>179610.5*1.18</f>
        <v>211940.38999999998</v>
      </c>
      <c r="E454" s="181" t="s">
        <v>547</v>
      </c>
      <c r="F454" s="181" t="s">
        <v>548</v>
      </c>
      <c r="G454" s="182">
        <v>211424.83</v>
      </c>
      <c r="H454" s="183">
        <v>42381</v>
      </c>
      <c r="I454" s="183">
        <v>42381</v>
      </c>
      <c r="J454" s="184">
        <v>211940.39</v>
      </c>
      <c r="K454" s="184">
        <v>211940.38769600002</v>
      </c>
      <c r="L454" s="183"/>
      <c r="M454" s="184">
        <f t="shared" ref="M454" si="43">J454-D454</f>
        <v>0</v>
      </c>
      <c r="N454" s="202"/>
      <c r="O454" s="283" t="s">
        <v>683</v>
      </c>
      <c r="P454" s="176"/>
      <c r="Q454" s="177"/>
      <c r="R454" s="132"/>
      <c r="S454" s="18"/>
      <c r="T454" s="2"/>
      <c r="U454" s="2"/>
      <c r="V454" s="2"/>
    </row>
    <row r="455" spans="1:22" s="8" customFormat="1" ht="17.25" outlineLevel="1" thickBot="1" x14ac:dyDescent="0.3">
      <c r="A455" s="1010" t="s">
        <v>628</v>
      </c>
      <c r="B455" s="1011"/>
      <c r="C455" s="461"/>
      <c r="D455" s="365">
        <f>SUM(D452:D454)</f>
        <v>13726637.109999999</v>
      </c>
      <c r="E455" s="247"/>
      <c r="F455" s="461"/>
      <c r="G455" s="366">
        <f>SUM(G452:G454)</f>
        <v>14449723.470000001</v>
      </c>
      <c r="H455" s="308"/>
      <c r="I455" s="277"/>
      <c r="J455" s="365">
        <f>SUM(J452:J454)</f>
        <v>6537213.3499999996</v>
      </c>
      <c r="K455" s="365">
        <f>SUM(K452:K454)</f>
        <v>6537213.3476959998</v>
      </c>
      <c r="L455" s="380"/>
      <c r="M455" s="378"/>
      <c r="N455" s="395">
        <f>AVERAGE(N452:N454)</f>
        <v>0.5</v>
      </c>
      <c r="O455" s="462"/>
      <c r="P455" s="176"/>
      <c r="Q455" s="177"/>
      <c r="R455" s="132"/>
      <c r="S455" s="18"/>
      <c r="T455" s="2"/>
      <c r="U455" s="2"/>
      <c r="V455" s="2"/>
    </row>
    <row r="456" spans="1:22" s="6" customFormat="1" ht="66" x14ac:dyDescent="0.25">
      <c r="A456" s="501">
        <v>40</v>
      </c>
      <c r="B456" s="465" t="s">
        <v>137</v>
      </c>
      <c r="C456" s="162" t="s">
        <v>500</v>
      </c>
      <c r="D456" s="162">
        <v>2666467.2200000002</v>
      </c>
      <c r="E456" s="197" t="s">
        <v>604</v>
      </c>
      <c r="F456" s="161" t="s">
        <v>603</v>
      </c>
      <c r="G456" s="353">
        <v>2588000</v>
      </c>
      <c r="H456" s="161">
        <v>42415</v>
      </c>
      <c r="I456" s="161">
        <v>42433</v>
      </c>
      <c r="J456" s="162">
        <v>2666467.2200000002</v>
      </c>
      <c r="K456" s="162">
        <v>2666467.2200000002</v>
      </c>
      <c r="L456" s="161"/>
      <c r="M456" s="316">
        <f>J456-D456</f>
        <v>0</v>
      </c>
      <c r="N456" s="200">
        <v>1</v>
      </c>
      <c r="O456" s="456"/>
      <c r="P456" s="176"/>
      <c r="Q456" s="177"/>
      <c r="R456" s="132"/>
      <c r="S456" s="18"/>
      <c r="T456" s="9"/>
      <c r="U456" s="9"/>
      <c r="V456" s="9"/>
    </row>
    <row r="457" spans="1:22" s="8" customFormat="1" ht="17.25" outlineLevel="1" thickBot="1" x14ac:dyDescent="0.3">
      <c r="A457" s="1006" t="s">
        <v>628</v>
      </c>
      <c r="B457" s="1007"/>
      <c r="C457" s="454"/>
      <c r="D457" s="365">
        <f>SUM(D456:D456)</f>
        <v>2666467.2200000002</v>
      </c>
      <c r="E457" s="239"/>
      <c r="F457" s="239"/>
      <c r="G457" s="366">
        <f>SUM(G456:G456)</f>
        <v>2588000</v>
      </c>
      <c r="H457" s="309"/>
      <c r="I457" s="321"/>
      <c r="J457" s="365">
        <f>SUM(J456:J456)</f>
        <v>2666467.2200000002</v>
      </c>
      <c r="K457" s="365">
        <f>SUM(K456:K456)</f>
        <v>2666467.2200000002</v>
      </c>
      <c r="L457" s="367"/>
      <c r="M457" s="365"/>
      <c r="N457" s="368">
        <f>AVERAGE(N456)</f>
        <v>1</v>
      </c>
      <c r="O457" s="455"/>
      <c r="P457" s="176"/>
      <c r="Q457" s="177"/>
      <c r="R457" s="132"/>
      <c r="S457" s="18"/>
      <c r="T457" s="2"/>
      <c r="U457" s="2"/>
      <c r="V457" s="2"/>
    </row>
    <row r="458" spans="1:22" s="6" customFormat="1" ht="33" x14ac:dyDescent="0.25">
      <c r="A458" s="1008">
        <v>41</v>
      </c>
      <c r="B458" s="1004" t="s">
        <v>138</v>
      </c>
      <c r="C458" s="162" t="s">
        <v>500</v>
      </c>
      <c r="D458" s="162">
        <v>5912748.9100000001</v>
      </c>
      <c r="E458" s="197" t="s">
        <v>823</v>
      </c>
      <c r="F458" s="197" t="s">
        <v>824</v>
      </c>
      <c r="G458" s="353">
        <v>6251428.6299999999</v>
      </c>
      <c r="H458" s="161">
        <v>42515</v>
      </c>
      <c r="I458" s="161">
        <v>42522</v>
      </c>
      <c r="J458" s="162">
        <v>5912748.9100000011</v>
      </c>
      <c r="K458" s="162">
        <v>5912748.9100000011</v>
      </c>
      <c r="L458" s="161"/>
      <c r="M458" s="316">
        <f t="shared" ref="M458:M459" si="44">J458-D458</f>
        <v>0</v>
      </c>
      <c r="N458" s="200">
        <v>1</v>
      </c>
      <c r="O458" s="456"/>
      <c r="P458" s="176"/>
      <c r="Q458" s="177"/>
      <c r="R458" s="132"/>
      <c r="S458" s="18"/>
      <c r="T458" s="9"/>
      <c r="U458" s="9"/>
      <c r="V458" s="9"/>
    </row>
    <row r="459" spans="1:22" s="8" customFormat="1" ht="49.5" outlineLevel="1" x14ac:dyDescent="0.25">
      <c r="A459" s="1009"/>
      <c r="B459" s="1005"/>
      <c r="C459" s="294" t="s">
        <v>37</v>
      </c>
      <c r="D459" s="180">
        <f>82174.11*1.18</f>
        <v>96965.449800000002</v>
      </c>
      <c r="E459" s="181" t="s">
        <v>551</v>
      </c>
      <c r="F459" s="181" t="s">
        <v>552</v>
      </c>
      <c r="G459" s="182">
        <v>96965.45</v>
      </c>
      <c r="H459" s="183">
        <v>42346</v>
      </c>
      <c r="I459" s="183">
        <v>42706</v>
      </c>
      <c r="J459" s="184">
        <v>96965.450000000012</v>
      </c>
      <c r="K459" s="184">
        <v>96965.450000000012</v>
      </c>
      <c r="L459" s="183"/>
      <c r="M459" s="184">
        <f t="shared" si="44"/>
        <v>2.0000000949949026E-4</v>
      </c>
      <c r="N459" s="202"/>
      <c r="O459" s="283" t="s">
        <v>683</v>
      </c>
      <c r="P459" s="176"/>
      <c r="Q459" s="177"/>
      <c r="R459" s="132"/>
      <c r="S459" s="18"/>
      <c r="T459" s="2"/>
      <c r="U459" s="2"/>
      <c r="V459" s="2"/>
    </row>
    <row r="460" spans="1:22" s="8" customFormat="1" ht="17.25" outlineLevel="1" thickBot="1" x14ac:dyDescent="0.3">
      <c r="A460" s="1006" t="s">
        <v>628</v>
      </c>
      <c r="B460" s="1007"/>
      <c r="C460" s="454"/>
      <c r="D460" s="365">
        <f>SUM(D458:D459)</f>
        <v>6009714.3597999997</v>
      </c>
      <c r="E460" s="239"/>
      <c r="F460" s="239"/>
      <c r="G460" s="366">
        <f>SUM(G458:G459)</f>
        <v>6348394.0800000001</v>
      </c>
      <c r="H460" s="309"/>
      <c r="I460" s="321"/>
      <c r="J460" s="365">
        <f>SUM(J458:J459)</f>
        <v>6009714.3600000013</v>
      </c>
      <c r="K460" s="365">
        <f>SUM(K458:K459)</f>
        <v>6009714.3600000013</v>
      </c>
      <c r="L460" s="367"/>
      <c r="M460" s="365"/>
      <c r="N460" s="368">
        <f>AVERAGE(N458:N459)</f>
        <v>1</v>
      </c>
      <c r="O460" s="455"/>
      <c r="P460" s="176"/>
      <c r="Q460" s="177"/>
      <c r="R460" s="132"/>
      <c r="S460" s="18"/>
      <c r="T460" s="2"/>
      <c r="U460" s="2"/>
      <c r="V460" s="2"/>
    </row>
    <row r="461" spans="1:22" s="6" customFormat="1" ht="66" x14ac:dyDescent="0.25">
      <c r="A461" s="501">
        <v>42</v>
      </c>
      <c r="B461" s="465" t="s">
        <v>139</v>
      </c>
      <c r="C461" s="162" t="s">
        <v>500</v>
      </c>
      <c r="D461" s="162">
        <v>2166473.44</v>
      </c>
      <c r="E461" s="197" t="s">
        <v>605</v>
      </c>
      <c r="F461" s="161" t="s">
        <v>603</v>
      </c>
      <c r="G461" s="353">
        <v>2150000</v>
      </c>
      <c r="H461" s="161">
        <v>42415</v>
      </c>
      <c r="I461" s="161">
        <v>42433</v>
      </c>
      <c r="J461" s="162">
        <v>2166473.44</v>
      </c>
      <c r="K461" s="162">
        <v>2166473.44</v>
      </c>
      <c r="L461" s="161"/>
      <c r="M461" s="316">
        <f t="shared" ref="M461" si="45">J461-D461</f>
        <v>0</v>
      </c>
      <c r="N461" s="200">
        <v>1</v>
      </c>
      <c r="O461" s="456"/>
      <c r="P461" s="176"/>
      <c r="Q461" s="177"/>
      <c r="R461" s="132"/>
      <c r="S461" s="18"/>
      <c r="T461" s="9"/>
      <c r="U461" s="9"/>
      <c r="V461" s="9"/>
    </row>
    <row r="462" spans="1:22" s="8" customFormat="1" ht="17.25" outlineLevel="1" thickBot="1" x14ac:dyDescent="0.3">
      <c r="A462" s="1006" t="s">
        <v>628</v>
      </c>
      <c r="B462" s="1007"/>
      <c r="C462" s="454"/>
      <c r="D462" s="365">
        <f>SUM(D461:D461)</f>
        <v>2166473.44</v>
      </c>
      <c r="E462" s="239"/>
      <c r="F462" s="239"/>
      <c r="G462" s="366">
        <f>SUM(G461:G461)</f>
        <v>2150000</v>
      </c>
      <c r="H462" s="309"/>
      <c r="I462" s="321"/>
      <c r="J462" s="365">
        <f>SUM(J461:J461)</f>
        <v>2166473.44</v>
      </c>
      <c r="K462" s="365">
        <f>SUM(K461:K461)</f>
        <v>2166473.44</v>
      </c>
      <c r="L462" s="367"/>
      <c r="M462" s="365"/>
      <c r="N462" s="368">
        <f>AVERAGE(N461)</f>
        <v>1</v>
      </c>
      <c r="O462" s="455"/>
      <c r="P462" s="176"/>
      <c r="Q462" s="177"/>
      <c r="R462" s="132"/>
      <c r="S462" s="18"/>
      <c r="T462" s="2"/>
      <c r="U462" s="2"/>
      <c r="V462" s="2"/>
    </row>
    <row r="463" spans="1:22" s="6" customFormat="1" ht="49.5" x14ac:dyDescent="0.25">
      <c r="A463" s="1008">
        <v>43</v>
      </c>
      <c r="B463" s="1004" t="s">
        <v>3</v>
      </c>
      <c r="C463" s="162" t="s">
        <v>34</v>
      </c>
      <c r="D463" s="162">
        <v>5106515.8899999997</v>
      </c>
      <c r="E463" s="984" t="s">
        <v>811</v>
      </c>
      <c r="F463" s="984" t="s">
        <v>752</v>
      </c>
      <c r="G463" s="353">
        <v>5227397.45</v>
      </c>
      <c r="H463" s="161">
        <v>42536</v>
      </c>
      <c r="I463" s="975">
        <v>42566</v>
      </c>
      <c r="J463" s="162">
        <v>5106515.8899999997</v>
      </c>
      <c r="K463" s="162">
        <v>5106515.8899999997</v>
      </c>
      <c r="L463" s="161">
        <v>42698</v>
      </c>
      <c r="M463" s="162"/>
      <c r="N463" s="200">
        <v>1</v>
      </c>
      <c r="O463" s="453"/>
      <c r="P463" s="176"/>
      <c r="Q463" s="280" t="s">
        <v>1118</v>
      </c>
      <c r="R463" s="132"/>
      <c r="S463" s="18"/>
      <c r="T463" s="9"/>
      <c r="U463" s="9"/>
      <c r="V463" s="9"/>
    </row>
    <row r="464" spans="1:22" s="8" customFormat="1" ht="49.5" outlineLevel="1" x14ac:dyDescent="0.25">
      <c r="A464" s="1009"/>
      <c r="B464" s="1005"/>
      <c r="C464" s="163" t="s">
        <v>35</v>
      </c>
      <c r="D464" s="163">
        <v>805130.5</v>
      </c>
      <c r="E464" s="986"/>
      <c r="F464" s="986"/>
      <c r="G464" s="354">
        <v>824188.67</v>
      </c>
      <c r="H464" s="210">
        <v>42505</v>
      </c>
      <c r="I464" s="979"/>
      <c r="J464" s="163">
        <v>805130.5</v>
      </c>
      <c r="K464" s="163">
        <v>805130.5</v>
      </c>
      <c r="L464" s="212">
        <v>42698</v>
      </c>
      <c r="M464" s="163"/>
      <c r="N464" s="213">
        <v>1</v>
      </c>
      <c r="O464" s="300"/>
      <c r="P464" s="176"/>
      <c r="Q464" s="280" t="s">
        <v>1118</v>
      </c>
      <c r="R464" s="132"/>
      <c r="S464" s="18"/>
      <c r="T464" s="2"/>
      <c r="U464" s="2"/>
      <c r="V464" s="2"/>
    </row>
    <row r="465" spans="1:22" s="8" customFormat="1" ht="66" outlineLevel="1" x14ac:dyDescent="0.25">
      <c r="A465" s="1009"/>
      <c r="B465" s="1005"/>
      <c r="C465" s="163" t="s">
        <v>500</v>
      </c>
      <c r="D465" s="163">
        <v>3826488.66</v>
      </c>
      <c r="E465" s="253" t="s">
        <v>597</v>
      </c>
      <c r="F465" s="253" t="s">
        <v>596</v>
      </c>
      <c r="G465" s="354">
        <v>4049238.44</v>
      </c>
      <c r="H465" s="210">
        <v>42399</v>
      </c>
      <c r="I465" s="210">
        <v>42405</v>
      </c>
      <c r="J465" s="163">
        <v>3826488.66</v>
      </c>
      <c r="K465" s="163">
        <v>3826488.6596320001</v>
      </c>
      <c r="L465" s="210"/>
      <c r="M465" s="163">
        <f t="shared" ref="M465" si="46">J465-D465</f>
        <v>0</v>
      </c>
      <c r="N465" s="213">
        <v>1</v>
      </c>
      <c r="O465" s="491"/>
      <c r="P465" s="176"/>
      <c r="Q465" s="177"/>
      <c r="R465" s="132"/>
      <c r="S465" s="18"/>
      <c r="T465" s="2"/>
      <c r="U465" s="2"/>
      <c r="V465" s="2"/>
    </row>
    <row r="466" spans="1:22" s="8" customFormat="1" ht="33" outlineLevel="1" x14ac:dyDescent="0.25">
      <c r="A466" s="1009"/>
      <c r="B466" s="1005"/>
      <c r="C466" s="303" t="s">
        <v>501</v>
      </c>
      <c r="D466" s="303">
        <v>4695745.0999999996</v>
      </c>
      <c r="E466" s="432" t="s">
        <v>1188</v>
      </c>
      <c r="F466" s="432" t="s">
        <v>1189</v>
      </c>
      <c r="G466" s="459">
        <v>4695745.0999999996</v>
      </c>
      <c r="H466" s="171">
        <v>42916</v>
      </c>
      <c r="I466" s="172"/>
      <c r="J466" s="335"/>
      <c r="K466" s="521"/>
      <c r="L466" s="522"/>
      <c r="M466" s="521"/>
      <c r="N466" s="523">
        <v>0</v>
      </c>
      <c r="O466" s="300"/>
      <c r="P466" s="176">
        <v>2017</v>
      </c>
      <c r="Q466" s="446"/>
      <c r="R466" s="496"/>
      <c r="S466" s="2"/>
      <c r="T466" s="2"/>
      <c r="U466" s="2"/>
      <c r="V466" s="2"/>
    </row>
    <row r="467" spans="1:22" s="8" customFormat="1" ht="49.5" outlineLevel="1" x14ac:dyDescent="0.25">
      <c r="A467" s="1009"/>
      <c r="B467" s="1005"/>
      <c r="C467" s="294" t="s">
        <v>37</v>
      </c>
      <c r="D467" s="180">
        <f>284602.95*1.18</f>
        <v>335831.48099999997</v>
      </c>
      <c r="E467" s="181" t="s">
        <v>547</v>
      </c>
      <c r="F467" s="181" t="s">
        <v>548</v>
      </c>
      <c r="G467" s="182">
        <v>335014.53999999998</v>
      </c>
      <c r="H467" s="183">
        <v>42381</v>
      </c>
      <c r="I467" s="183">
        <v>42381</v>
      </c>
      <c r="J467" s="184">
        <v>335831.48</v>
      </c>
      <c r="K467" s="514">
        <v>335831.47587199998</v>
      </c>
      <c r="L467" s="515"/>
      <c r="M467" s="184">
        <f t="shared" ref="M467" si="47">J467-D467</f>
        <v>-9.9999998928979039E-4</v>
      </c>
      <c r="N467" s="516"/>
      <c r="O467" s="283" t="s">
        <v>683</v>
      </c>
      <c r="P467" s="176"/>
      <c r="Q467" s="177"/>
      <c r="R467" s="132"/>
      <c r="S467" s="18"/>
      <c r="T467" s="2"/>
      <c r="U467" s="2"/>
      <c r="V467" s="2"/>
    </row>
    <row r="468" spans="1:22" s="8" customFormat="1" ht="17.25" outlineLevel="1" thickBot="1" x14ac:dyDescent="0.3">
      <c r="A468" s="1006" t="s">
        <v>628</v>
      </c>
      <c r="B468" s="1007"/>
      <c r="C468" s="454"/>
      <c r="D468" s="365">
        <f>SUM(D463:D467)</f>
        <v>14769711.631000001</v>
      </c>
      <c r="E468" s="239"/>
      <c r="F468" s="239"/>
      <c r="G468" s="366">
        <f>SUM(G463:G467)</f>
        <v>15131584.199999999</v>
      </c>
      <c r="H468" s="309"/>
      <c r="I468" s="321"/>
      <c r="J468" s="365">
        <f>SUM(J463:J467)</f>
        <v>10073966.530000001</v>
      </c>
      <c r="K468" s="365">
        <f>SUM(K463:K467)</f>
        <v>10073966.525504</v>
      </c>
      <c r="L468" s="367"/>
      <c r="M468" s="365"/>
      <c r="N468" s="368">
        <f>AVERAGE(N463:N467)</f>
        <v>0.75</v>
      </c>
      <c r="O468" s="455"/>
      <c r="P468" s="176"/>
      <c r="Q468" s="177"/>
      <c r="R468" s="132"/>
      <c r="S468" s="18"/>
      <c r="T468" s="2"/>
      <c r="U468" s="2"/>
      <c r="V468" s="2"/>
    </row>
    <row r="469" spans="1:22" s="6" customFormat="1" ht="49.5" customHeight="1" x14ac:dyDescent="0.25">
      <c r="A469" s="1008">
        <v>44</v>
      </c>
      <c r="B469" s="1004" t="s">
        <v>117</v>
      </c>
      <c r="C469" s="162" t="s">
        <v>36</v>
      </c>
      <c r="D469" s="162">
        <v>777583.25</v>
      </c>
      <c r="E469" s="197" t="s">
        <v>898</v>
      </c>
      <c r="F469" s="197" t="s">
        <v>596</v>
      </c>
      <c r="G469" s="353">
        <v>900000</v>
      </c>
      <c r="H469" s="161">
        <v>42592</v>
      </c>
      <c r="I469" s="161">
        <v>42655</v>
      </c>
      <c r="J469" s="162">
        <v>777583.25</v>
      </c>
      <c r="K469" s="162">
        <v>777583.25</v>
      </c>
      <c r="L469" s="161"/>
      <c r="M469" s="162"/>
      <c r="N469" s="200">
        <v>1</v>
      </c>
      <c r="O469" s="453"/>
      <c r="P469" s="176"/>
      <c r="Q469" s="177"/>
      <c r="R469" s="132"/>
      <c r="S469" s="18"/>
      <c r="T469" s="9"/>
      <c r="U469" s="9"/>
      <c r="V469" s="9"/>
    </row>
    <row r="470" spans="1:22" s="6" customFormat="1" ht="49.5" x14ac:dyDescent="0.25">
      <c r="A470" s="1009"/>
      <c r="B470" s="1005"/>
      <c r="C470" s="294" t="s">
        <v>37</v>
      </c>
      <c r="D470" s="184">
        <f>72369.1*1.18</f>
        <v>85395.538</v>
      </c>
      <c r="E470" s="181" t="s">
        <v>557</v>
      </c>
      <c r="F470" s="181" t="s">
        <v>548</v>
      </c>
      <c r="G470" s="506">
        <f>72369.1*1.18</f>
        <v>85395.538</v>
      </c>
      <c r="H470" s="183">
        <v>42424</v>
      </c>
      <c r="I470" s="183">
        <v>42415</v>
      </c>
      <c r="J470" s="184">
        <v>85395.54</v>
      </c>
      <c r="K470" s="184">
        <v>85395.54</v>
      </c>
      <c r="L470" s="183"/>
      <c r="M470" s="184">
        <f t="shared" ref="M470" si="48">J470-D470</f>
        <v>1.999999993131496E-3</v>
      </c>
      <c r="N470" s="202"/>
      <c r="O470" s="524"/>
      <c r="P470" s="176"/>
      <c r="Q470" s="177"/>
      <c r="R470" s="132"/>
      <c r="S470" s="18"/>
      <c r="T470" s="9"/>
      <c r="U470" s="9"/>
      <c r="V470" s="9"/>
    </row>
    <row r="471" spans="1:22" s="8" customFormat="1" ht="66" outlineLevel="1" x14ac:dyDescent="0.25">
      <c r="A471" s="1009"/>
      <c r="B471" s="1005"/>
      <c r="C471" s="163" t="s">
        <v>500</v>
      </c>
      <c r="D471" s="163">
        <v>3589429.02</v>
      </c>
      <c r="E471" s="253" t="s">
        <v>597</v>
      </c>
      <c r="F471" s="253" t="s">
        <v>596</v>
      </c>
      <c r="G471" s="354">
        <v>3537867.74</v>
      </c>
      <c r="H471" s="210">
        <v>42399</v>
      </c>
      <c r="I471" s="210">
        <v>42405</v>
      </c>
      <c r="J471" s="163">
        <v>3589429.02</v>
      </c>
      <c r="K471" s="163">
        <v>3589429.0176480007</v>
      </c>
      <c r="L471" s="210"/>
      <c r="M471" s="316">
        <f t="shared" ref="M471" si="49">J471-D471</f>
        <v>0</v>
      </c>
      <c r="N471" s="213">
        <v>1</v>
      </c>
      <c r="O471" s="491"/>
      <c r="P471" s="176"/>
      <c r="Q471" s="177"/>
      <c r="R471" s="132"/>
      <c r="S471" s="18"/>
      <c r="T471" s="2"/>
      <c r="U471" s="2"/>
      <c r="V471" s="2"/>
    </row>
    <row r="472" spans="1:22" s="8" customFormat="1" ht="33" outlineLevel="1" x14ac:dyDescent="0.25">
      <c r="A472" s="1009"/>
      <c r="B472" s="1005"/>
      <c r="C472" s="303" t="s">
        <v>501</v>
      </c>
      <c r="D472" s="303">
        <v>4645231.66</v>
      </c>
      <c r="E472" s="432" t="s">
        <v>1188</v>
      </c>
      <c r="F472" s="432" t="s">
        <v>1189</v>
      </c>
      <c r="G472" s="459">
        <v>4645231.66</v>
      </c>
      <c r="H472" s="171">
        <v>42885</v>
      </c>
      <c r="I472" s="172"/>
      <c r="J472" s="173"/>
      <c r="K472" s="303"/>
      <c r="L472" s="511"/>
      <c r="M472" s="303"/>
      <c r="N472" s="512">
        <v>0</v>
      </c>
      <c r="O472" s="300"/>
      <c r="P472" s="176">
        <v>2017</v>
      </c>
      <c r="Q472" s="446"/>
      <c r="R472" s="496"/>
      <c r="S472" s="2"/>
      <c r="T472" s="2"/>
      <c r="U472" s="2"/>
      <c r="V472" s="2"/>
    </row>
    <row r="473" spans="1:22" s="8" customFormat="1" ht="49.5" outlineLevel="1" x14ac:dyDescent="0.25">
      <c r="A473" s="1009"/>
      <c r="B473" s="1005"/>
      <c r="C473" s="294" t="s">
        <v>37</v>
      </c>
      <c r="D473" s="180">
        <f>159708.29*1.18</f>
        <v>188455.78219999999</v>
      </c>
      <c r="E473" s="181" t="s">
        <v>547</v>
      </c>
      <c r="F473" s="181" t="s">
        <v>548</v>
      </c>
      <c r="G473" s="182">
        <v>187997.35200000001</v>
      </c>
      <c r="H473" s="183">
        <v>42381</v>
      </c>
      <c r="I473" s="183">
        <v>42381</v>
      </c>
      <c r="J473" s="184">
        <v>188455.78</v>
      </c>
      <c r="K473" s="514">
        <v>188455.78539199999</v>
      </c>
      <c r="L473" s="515"/>
      <c r="M473" s="184">
        <f t="shared" ref="M473" si="50">J473-D473</f>
        <v>-2.199999988079071E-3</v>
      </c>
      <c r="N473" s="516"/>
      <c r="O473" s="283" t="s">
        <v>690</v>
      </c>
      <c r="P473" s="176"/>
      <c r="Q473" s="177"/>
      <c r="R473" s="132"/>
      <c r="S473" s="18"/>
      <c r="T473" s="2"/>
      <c r="U473" s="2"/>
      <c r="V473" s="2"/>
    </row>
    <row r="474" spans="1:22" s="8" customFormat="1" ht="17.25" outlineLevel="1" thickBot="1" x14ac:dyDescent="0.3">
      <c r="A474" s="1010" t="s">
        <v>628</v>
      </c>
      <c r="B474" s="1011"/>
      <c r="C474" s="461"/>
      <c r="D474" s="378">
        <f>SUM(D469:D473)</f>
        <v>9286095.2501999997</v>
      </c>
      <c r="E474" s="247"/>
      <c r="F474" s="247"/>
      <c r="G474" s="379">
        <f>SUM(G469:G473)</f>
        <v>9356492.290000001</v>
      </c>
      <c r="H474" s="308"/>
      <c r="I474" s="525"/>
      <c r="J474" s="378">
        <f>SUM(J469:J473)</f>
        <v>4640863.5900000008</v>
      </c>
      <c r="K474" s="378">
        <f>SUM(K469:K473)</f>
        <v>4640863.5930400016</v>
      </c>
      <c r="L474" s="380"/>
      <c r="M474" s="378"/>
      <c r="N474" s="395">
        <f>AVERAGE(N469:N473)</f>
        <v>0.66666666666666663</v>
      </c>
      <c r="O474" s="462"/>
      <c r="P474" s="176"/>
      <c r="Q474" s="177"/>
      <c r="R474" s="132"/>
      <c r="S474" s="18"/>
      <c r="T474" s="2"/>
      <c r="U474" s="2"/>
      <c r="V474" s="2"/>
    </row>
    <row r="475" spans="1:22" s="6" customFormat="1" ht="33" x14ac:dyDescent="0.25">
      <c r="A475" s="1008">
        <v>45</v>
      </c>
      <c r="B475" s="1004" t="s">
        <v>118</v>
      </c>
      <c r="C475" s="372" t="s">
        <v>501</v>
      </c>
      <c r="D475" s="372">
        <v>9107000</v>
      </c>
      <c r="E475" s="220" t="s">
        <v>1280</v>
      </c>
      <c r="F475" s="220" t="s">
        <v>670</v>
      </c>
      <c r="G475" s="463">
        <v>8067550.2599999998</v>
      </c>
      <c r="H475" s="223">
        <v>42855</v>
      </c>
      <c r="I475" s="375"/>
      <c r="J475" s="221"/>
      <c r="K475" s="221"/>
      <c r="L475" s="223"/>
      <c r="M475" s="221"/>
      <c r="N475" s="376">
        <v>0</v>
      </c>
      <c r="O475" s="453"/>
      <c r="P475" s="176">
        <v>2017</v>
      </c>
      <c r="Q475" s="177"/>
      <c r="R475" s="132"/>
      <c r="S475" s="18"/>
      <c r="T475" s="9"/>
      <c r="U475" s="9"/>
      <c r="V475" s="9"/>
    </row>
    <row r="476" spans="1:22" s="8" customFormat="1" ht="49.5" outlineLevel="1" x14ac:dyDescent="0.25">
      <c r="A476" s="1009"/>
      <c r="B476" s="1005"/>
      <c r="C476" s="294" t="s">
        <v>37</v>
      </c>
      <c r="D476" s="180">
        <f>84908.76*1.18</f>
        <v>100192.33679999999</v>
      </c>
      <c r="E476" s="181" t="s">
        <v>547</v>
      </c>
      <c r="F476" s="181" t="s">
        <v>548</v>
      </c>
      <c r="G476" s="182">
        <v>99948.61</v>
      </c>
      <c r="H476" s="183">
        <v>42381</v>
      </c>
      <c r="I476" s="183">
        <v>42381</v>
      </c>
      <c r="J476" s="184">
        <v>100192.34</v>
      </c>
      <c r="K476" s="184">
        <v>100192.336176</v>
      </c>
      <c r="L476" s="183"/>
      <c r="M476" s="184">
        <f t="shared" ref="M476" si="51">J476-D476</f>
        <v>3.2000000064726919E-3</v>
      </c>
      <c r="N476" s="202"/>
      <c r="O476" s="283" t="s">
        <v>691</v>
      </c>
      <c r="P476" s="176"/>
      <c r="Q476" s="177"/>
      <c r="R476" s="132"/>
      <c r="S476" s="18"/>
      <c r="T476" s="2"/>
      <c r="U476" s="2"/>
      <c r="V476" s="2"/>
    </row>
    <row r="477" spans="1:22" s="8" customFormat="1" ht="17.25" outlineLevel="1" thickBot="1" x14ac:dyDescent="0.3">
      <c r="A477" s="1006" t="s">
        <v>628</v>
      </c>
      <c r="B477" s="1007"/>
      <c r="C477" s="454"/>
      <c r="D477" s="365">
        <f>SUM(D475:D476)</f>
        <v>9207192.3367999997</v>
      </c>
      <c r="E477" s="239"/>
      <c r="F477" s="239"/>
      <c r="G477" s="366">
        <f>SUM(G475:G476)</f>
        <v>8167498.8700000001</v>
      </c>
      <c r="H477" s="309"/>
      <c r="I477" s="321"/>
      <c r="J477" s="365">
        <f>SUM(J475:J476)</f>
        <v>100192.34</v>
      </c>
      <c r="K477" s="365">
        <f>SUM(K475:K476)</f>
        <v>100192.336176</v>
      </c>
      <c r="L477" s="367"/>
      <c r="M477" s="365"/>
      <c r="N477" s="394">
        <f>AVERAGE(N475:N476)</f>
        <v>0</v>
      </c>
      <c r="O477" s="455"/>
      <c r="P477" s="176"/>
      <c r="Q477" s="177"/>
      <c r="R477" s="132"/>
      <c r="S477" s="18"/>
      <c r="T477" s="2"/>
      <c r="U477" s="2"/>
      <c r="V477" s="2"/>
    </row>
    <row r="478" spans="1:22" s="6" customFormat="1" ht="66" x14ac:dyDescent="0.25">
      <c r="A478" s="1008">
        <v>46</v>
      </c>
      <c r="B478" s="1004" t="s">
        <v>119</v>
      </c>
      <c r="C478" s="159" t="s">
        <v>500</v>
      </c>
      <c r="D478" s="159">
        <v>5404479.0599999996</v>
      </c>
      <c r="E478" s="278" t="s">
        <v>595</v>
      </c>
      <c r="F478" s="278" t="s">
        <v>596</v>
      </c>
      <c r="G478" s="160">
        <v>5647612.1600000001</v>
      </c>
      <c r="H478" s="502">
        <v>42394</v>
      </c>
      <c r="I478" s="502">
        <v>42405</v>
      </c>
      <c r="J478" s="159">
        <v>5404479.0599999996</v>
      </c>
      <c r="K478" s="159">
        <v>5404479.0599999996</v>
      </c>
      <c r="L478" s="502"/>
      <c r="M478" s="316">
        <f t="shared" ref="M478" si="52">J478-D478</f>
        <v>0</v>
      </c>
      <c r="N478" s="503">
        <v>1</v>
      </c>
      <c r="O478" s="233"/>
      <c r="P478" s="176"/>
      <c r="Q478" s="177"/>
      <c r="R478" s="132"/>
      <c r="S478" s="18"/>
      <c r="T478" s="9"/>
      <c r="U478" s="9"/>
      <c r="V478" s="9"/>
    </row>
    <row r="479" spans="1:22" s="8" customFormat="1" ht="33" outlineLevel="1" x14ac:dyDescent="0.25">
      <c r="A479" s="1009"/>
      <c r="B479" s="1005"/>
      <c r="C479" s="303" t="s">
        <v>501</v>
      </c>
      <c r="D479" s="303">
        <v>7904823.54</v>
      </c>
      <c r="E479" s="432" t="s">
        <v>1188</v>
      </c>
      <c r="F479" s="432" t="s">
        <v>1189</v>
      </c>
      <c r="G479" s="459">
        <v>7904823.54</v>
      </c>
      <c r="H479" s="171">
        <v>42885</v>
      </c>
      <c r="I479" s="172"/>
      <c r="J479" s="173"/>
      <c r="K479" s="303"/>
      <c r="L479" s="511"/>
      <c r="M479" s="303"/>
      <c r="N479" s="512">
        <v>0</v>
      </c>
      <c r="O479" s="300"/>
      <c r="P479" s="176">
        <v>2017</v>
      </c>
      <c r="Q479" s="446"/>
      <c r="R479" s="496"/>
      <c r="S479" s="2"/>
      <c r="T479" s="2"/>
      <c r="U479" s="2"/>
      <c r="V479" s="2"/>
    </row>
    <row r="480" spans="1:22" s="8" customFormat="1" ht="49.5" outlineLevel="1" x14ac:dyDescent="0.25">
      <c r="A480" s="1009"/>
      <c r="B480" s="1005"/>
      <c r="C480" s="294" t="s">
        <v>37</v>
      </c>
      <c r="D480" s="180">
        <f>177093.11*1.18</f>
        <v>208969.86979999999</v>
      </c>
      <c r="E480" s="181" t="s">
        <v>547</v>
      </c>
      <c r="F480" s="181" t="s">
        <v>548</v>
      </c>
      <c r="G480" s="182">
        <v>208461.53</v>
      </c>
      <c r="H480" s="183">
        <v>42381</v>
      </c>
      <c r="I480" s="183">
        <v>42381</v>
      </c>
      <c r="J480" s="184">
        <v>208969.87</v>
      </c>
      <c r="K480" s="514">
        <v>208969.87076800002</v>
      </c>
      <c r="L480" s="515"/>
      <c r="M480" s="184">
        <f t="shared" ref="M480" si="53">J480-D480</f>
        <v>2.0000000949949026E-4</v>
      </c>
      <c r="N480" s="516"/>
      <c r="O480" s="283" t="s">
        <v>684</v>
      </c>
      <c r="P480" s="176"/>
      <c r="Q480" s="177"/>
      <c r="R480" s="132"/>
      <c r="S480" s="18"/>
      <c r="T480" s="2"/>
      <c r="U480" s="2"/>
      <c r="V480" s="2"/>
    </row>
    <row r="481" spans="1:22" s="8" customFormat="1" ht="17.25" outlineLevel="1" thickBot="1" x14ac:dyDescent="0.3">
      <c r="A481" s="1006" t="s">
        <v>628</v>
      </c>
      <c r="B481" s="1007"/>
      <c r="C481" s="454"/>
      <c r="D481" s="365">
        <f>SUM(D478:D480)</f>
        <v>13518272.469799999</v>
      </c>
      <c r="E481" s="239"/>
      <c r="F481" s="239"/>
      <c r="G481" s="366">
        <f>SUM(G478:G480)</f>
        <v>13760897.229999999</v>
      </c>
      <c r="H481" s="309"/>
      <c r="I481" s="321"/>
      <c r="J481" s="365">
        <f>SUM(J478:J480)</f>
        <v>5613448.9299999997</v>
      </c>
      <c r="K481" s="365">
        <f>SUM(K478:K480)</f>
        <v>5613448.930768</v>
      </c>
      <c r="L481" s="367"/>
      <c r="M481" s="365"/>
      <c r="N481" s="368">
        <f>AVERAGE(N478:N480)</f>
        <v>0.5</v>
      </c>
      <c r="O481" s="455"/>
      <c r="P481" s="176"/>
      <c r="Q481" s="177"/>
      <c r="R481" s="132"/>
      <c r="S481" s="18"/>
      <c r="T481" s="2"/>
      <c r="U481" s="2"/>
      <c r="V481" s="2"/>
    </row>
    <row r="482" spans="1:22" s="6" customFormat="1" ht="38.25" customHeight="1" x14ac:dyDescent="0.25">
      <c r="A482" s="1008">
        <v>47</v>
      </c>
      <c r="B482" s="1004" t="s">
        <v>140</v>
      </c>
      <c r="C482" s="162" t="s">
        <v>500</v>
      </c>
      <c r="D482" s="162">
        <v>2200582.04</v>
      </c>
      <c r="E482" s="197" t="s">
        <v>812</v>
      </c>
      <c r="F482" s="197" t="s">
        <v>752</v>
      </c>
      <c r="G482" s="353">
        <v>2464975.5299999998</v>
      </c>
      <c r="H482" s="161">
        <v>42514</v>
      </c>
      <c r="I482" s="161">
        <v>42520</v>
      </c>
      <c r="J482" s="162">
        <v>2200582.04</v>
      </c>
      <c r="K482" s="162">
        <v>2200582.04</v>
      </c>
      <c r="L482" s="161"/>
      <c r="M482" s="316">
        <f t="shared" ref="M482:M483" si="54">J482-D482</f>
        <v>0</v>
      </c>
      <c r="N482" s="200">
        <v>1</v>
      </c>
      <c r="O482" s="456"/>
      <c r="P482" s="176"/>
      <c r="Q482" s="177"/>
      <c r="R482" s="132"/>
      <c r="S482" s="18"/>
      <c r="T482" s="9"/>
      <c r="U482" s="9"/>
      <c r="V482" s="9"/>
    </row>
    <row r="483" spans="1:22" s="8" customFormat="1" ht="49.5" outlineLevel="1" x14ac:dyDescent="0.25">
      <c r="A483" s="1009"/>
      <c r="B483" s="1005"/>
      <c r="C483" s="294" t="s">
        <v>37</v>
      </c>
      <c r="D483" s="180">
        <f>65494.84*1.18</f>
        <v>77283.911199999988</v>
      </c>
      <c r="E483" s="181" t="s">
        <v>557</v>
      </c>
      <c r="F483" s="181" t="s">
        <v>548</v>
      </c>
      <c r="G483" s="182">
        <f>65494.84*1.18</f>
        <v>77283.911199999988</v>
      </c>
      <c r="H483" s="183">
        <v>42424</v>
      </c>
      <c r="I483" s="183">
        <v>42415</v>
      </c>
      <c r="J483" s="184">
        <v>77283.91</v>
      </c>
      <c r="K483" s="184">
        <v>77283.91</v>
      </c>
      <c r="L483" s="183"/>
      <c r="M483" s="184">
        <f t="shared" si="54"/>
        <v>-1.1999999842373654E-3</v>
      </c>
      <c r="N483" s="202"/>
      <c r="O483" s="283" t="s">
        <v>682</v>
      </c>
      <c r="P483" s="176"/>
      <c r="Q483" s="177"/>
      <c r="R483" s="132"/>
      <c r="S483" s="18"/>
      <c r="T483" s="2"/>
      <c r="U483" s="2"/>
      <c r="V483" s="2"/>
    </row>
    <row r="484" spans="1:22" s="8" customFormat="1" ht="17.25" outlineLevel="1" thickBot="1" x14ac:dyDescent="0.3">
      <c r="A484" s="1006" t="s">
        <v>628</v>
      </c>
      <c r="B484" s="1007"/>
      <c r="C484" s="454"/>
      <c r="D484" s="365">
        <f>SUM(D482:D483)</f>
        <v>2277865.9512</v>
      </c>
      <c r="E484" s="239"/>
      <c r="F484" s="239"/>
      <c r="G484" s="366">
        <f>SUM(G482:G483)</f>
        <v>2542259.4411999998</v>
      </c>
      <c r="H484" s="309"/>
      <c r="I484" s="321"/>
      <c r="J484" s="365">
        <f>SUM(J482:J483)</f>
        <v>2277865.9500000002</v>
      </c>
      <c r="K484" s="365">
        <f>SUM(K482:K483)</f>
        <v>2277865.9500000002</v>
      </c>
      <c r="L484" s="367"/>
      <c r="M484" s="365"/>
      <c r="N484" s="368">
        <f>AVERAGE(N482:N483)</f>
        <v>1</v>
      </c>
      <c r="O484" s="455"/>
      <c r="P484" s="176"/>
      <c r="Q484" s="177"/>
      <c r="R484" s="132"/>
      <c r="S484" s="18"/>
      <c r="T484" s="2"/>
      <c r="U484" s="2"/>
      <c r="V484" s="2"/>
    </row>
    <row r="485" spans="1:22" s="6" customFormat="1" ht="33" x14ac:dyDescent="0.25">
      <c r="A485" s="1008">
        <v>48</v>
      </c>
      <c r="B485" s="1004" t="s">
        <v>141</v>
      </c>
      <c r="C485" s="162" t="s">
        <v>500</v>
      </c>
      <c r="D485" s="162">
        <v>2891217.16</v>
      </c>
      <c r="E485" s="197" t="s">
        <v>822</v>
      </c>
      <c r="F485" s="197" t="s">
        <v>799</v>
      </c>
      <c r="G485" s="353">
        <v>2639535.14</v>
      </c>
      <c r="H485" s="161">
        <v>42550</v>
      </c>
      <c r="I485" s="161">
        <v>42548</v>
      </c>
      <c r="J485" s="162">
        <v>2891217.16</v>
      </c>
      <c r="K485" s="162">
        <v>2891217.16</v>
      </c>
      <c r="L485" s="161"/>
      <c r="M485" s="487">
        <f t="shared" ref="M485:M486" si="55">J485-D485</f>
        <v>0</v>
      </c>
      <c r="N485" s="200">
        <v>1</v>
      </c>
      <c r="O485" s="456"/>
      <c r="P485" s="176"/>
      <c r="Q485" s="177"/>
      <c r="R485" s="132"/>
      <c r="S485" s="18"/>
      <c r="T485" s="9"/>
      <c r="U485" s="9"/>
      <c r="V485" s="9"/>
    </row>
    <row r="486" spans="1:22" s="8" customFormat="1" ht="49.5" outlineLevel="1" x14ac:dyDescent="0.25">
      <c r="A486" s="1009"/>
      <c r="B486" s="1005"/>
      <c r="C486" s="294" t="s">
        <v>37</v>
      </c>
      <c r="D486" s="180">
        <f>65413.2*1.18</f>
        <v>77187.575999999986</v>
      </c>
      <c r="E486" s="181" t="s">
        <v>557</v>
      </c>
      <c r="F486" s="181" t="s">
        <v>548</v>
      </c>
      <c r="G486" s="182">
        <f>65413.2*1.18</f>
        <v>77187.575999999986</v>
      </c>
      <c r="H486" s="183">
        <v>42424</v>
      </c>
      <c r="I486" s="183">
        <v>42415</v>
      </c>
      <c r="J486" s="184">
        <v>77187.58</v>
      </c>
      <c r="K486" s="184">
        <v>77187.58</v>
      </c>
      <c r="L486" s="183"/>
      <c r="M486" s="184">
        <f t="shared" si="55"/>
        <v>4.0000000153668225E-3</v>
      </c>
      <c r="N486" s="202"/>
      <c r="O486" s="283" t="s">
        <v>698</v>
      </c>
      <c r="P486" s="176"/>
      <c r="Q486" s="177"/>
      <c r="R486" s="132"/>
      <c r="S486" s="18"/>
      <c r="T486" s="2"/>
      <c r="U486" s="2"/>
      <c r="V486" s="2"/>
    </row>
    <row r="487" spans="1:22" s="8" customFormat="1" ht="17.25" outlineLevel="1" thickBot="1" x14ac:dyDescent="0.3">
      <c r="A487" s="1006" t="s">
        <v>628</v>
      </c>
      <c r="B487" s="1007"/>
      <c r="C487" s="454"/>
      <c r="D487" s="365">
        <f>SUM(D485:D486)</f>
        <v>2968404.736</v>
      </c>
      <c r="E487" s="239"/>
      <c r="F487" s="239"/>
      <c r="G487" s="366">
        <f>SUM(G485:G486)</f>
        <v>2716722.716</v>
      </c>
      <c r="H487" s="309"/>
      <c r="I487" s="321"/>
      <c r="J487" s="365">
        <f>SUM(J485:J486)</f>
        <v>2968404.74</v>
      </c>
      <c r="K487" s="365">
        <f>SUM(K485:K486)</f>
        <v>2968404.74</v>
      </c>
      <c r="L487" s="367"/>
      <c r="M487" s="365"/>
      <c r="N487" s="368">
        <f>AVERAGE(N485:N486)</f>
        <v>1</v>
      </c>
      <c r="O487" s="455"/>
      <c r="P487" s="176"/>
      <c r="Q487" s="177"/>
      <c r="R487" s="132"/>
      <c r="S487" s="18"/>
      <c r="T487" s="2"/>
      <c r="U487" s="2"/>
      <c r="V487" s="2"/>
    </row>
    <row r="488" spans="1:22" s="6" customFormat="1" ht="66" x14ac:dyDescent="0.25">
      <c r="A488" s="517">
        <v>49</v>
      </c>
      <c r="B488" s="518" t="s">
        <v>142</v>
      </c>
      <c r="C488" s="275" t="s">
        <v>500</v>
      </c>
      <c r="D488" s="275">
        <v>2936291.8</v>
      </c>
      <c r="E488" s="273" t="s">
        <v>598</v>
      </c>
      <c r="F488" s="273" t="s">
        <v>656</v>
      </c>
      <c r="G488" s="486">
        <v>3080450.18</v>
      </c>
      <c r="H488" s="212">
        <v>42397</v>
      </c>
      <c r="I488" s="212">
        <v>42407</v>
      </c>
      <c r="J488" s="275">
        <v>2936291.8</v>
      </c>
      <c r="K488" s="275">
        <v>2936291.8</v>
      </c>
      <c r="L488" s="212"/>
      <c r="M488" s="498">
        <f t="shared" ref="M488" si="56">J488-D488</f>
        <v>0</v>
      </c>
      <c r="N488" s="488">
        <v>1</v>
      </c>
      <c r="O488" s="489"/>
      <c r="P488" s="176"/>
      <c r="Q488" s="526"/>
      <c r="R488" s="132"/>
      <c r="S488" s="18"/>
      <c r="T488" s="9"/>
      <c r="U488" s="9"/>
      <c r="V488" s="9"/>
    </row>
    <row r="489" spans="1:22" s="8" customFormat="1" ht="17.25" outlineLevel="1" thickBot="1" x14ac:dyDescent="0.3">
      <c r="A489" s="1006" t="s">
        <v>628</v>
      </c>
      <c r="B489" s="1007"/>
      <c r="C489" s="454"/>
      <c r="D489" s="365">
        <f>SUM(D488:D488)</f>
        <v>2936291.8</v>
      </c>
      <c r="E489" s="239"/>
      <c r="F489" s="239"/>
      <c r="G489" s="366">
        <f>SUM(G488:G488)</f>
        <v>3080450.18</v>
      </c>
      <c r="H489" s="309"/>
      <c r="I489" s="321"/>
      <c r="J489" s="365">
        <f>SUM(J488:J488)</f>
        <v>2936291.8</v>
      </c>
      <c r="K489" s="365">
        <f>SUM(K488:K488)</f>
        <v>2936291.8</v>
      </c>
      <c r="L489" s="367"/>
      <c r="M489" s="365"/>
      <c r="N489" s="368">
        <f>AVERAGE(N488)</f>
        <v>1</v>
      </c>
      <c r="O489" s="455"/>
      <c r="P489" s="176"/>
      <c r="Q489" s="177"/>
      <c r="R489" s="132"/>
      <c r="S489" s="18"/>
      <c r="T489" s="2"/>
      <c r="U489" s="2"/>
      <c r="V489" s="2"/>
    </row>
    <row r="490" spans="1:22" s="6" customFormat="1" ht="15" customHeight="1" x14ac:dyDescent="0.25">
      <c r="A490" s="1008">
        <v>50</v>
      </c>
      <c r="B490" s="1004" t="s">
        <v>120</v>
      </c>
      <c r="C490" s="162" t="s">
        <v>500</v>
      </c>
      <c r="D490" s="499">
        <v>3587347.5</v>
      </c>
      <c r="E490" s="984" t="s">
        <v>743</v>
      </c>
      <c r="F490" s="984" t="s">
        <v>661</v>
      </c>
      <c r="G490" s="353">
        <v>3477154.58</v>
      </c>
      <c r="H490" s="161">
        <v>42475</v>
      </c>
      <c r="I490" s="161">
        <v>42474</v>
      </c>
      <c r="J490" s="162">
        <v>3587347.5</v>
      </c>
      <c r="K490" s="162">
        <v>3587347.5</v>
      </c>
      <c r="L490" s="161"/>
      <c r="M490" s="487">
        <f t="shared" ref="M490" si="57">J490-D490</f>
        <v>0</v>
      </c>
      <c r="N490" s="200">
        <v>1</v>
      </c>
      <c r="O490" s="456"/>
      <c r="P490" s="176"/>
      <c r="Q490" s="177"/>
      <c r="R490" s="132"/>
      <c r="S490" s="18"/>
      <c r="T490" s="9"/>
      <c r="U490" s="9"/>
      <c r="V490" s="9"/>
    </row>
    <row r="491" spans="1:22" s="8" customFormat="1" ht="49.5" outlineLevel="1" x14ac:dyDescent="0.25">
      <c r="A491" s="1009"/>
      <c r="B491" s="1005"/>
      <c r="C491" s="163" t="s">
        <v>501</v>
      </c>
      <c r="D491" s="490">
        <v>8120000</v>
      </c>
      <c r="E491" s="986"/>
      <c r="F491" s="986"/>
      <c r="G491" s="354">
        <v>6121634.0599999996</v>
      </c>
      <c r="H491" s="257">
        <v>42517</v>
      </c>
      <c r="I491" s="210">
        <v>42699</v>
      </c>
      <c r="J491" s="163">
        <v>4397200</v>
      </c>
      <c r="K491" s="163">
        <v>4397200</v>
      </c>
      <c r="L491" s="210">
        <v>42726</v>
      </c>
      <c r="M491" s="163"/>
      <c r="N491" s="213">
        <v>1</v>
      </c>
      <c r="O491" s="491"/>
      <c r="P491" s="176"/>
      <c r="Q491" s="177" t="s">
        <v>1127</v>
      </c>
      <c r="R491" s="132"/>
      <c r="S491" s="18"/>
      <c r="T491" s="2"/>
      <c r="U491" s="2"/>
      <c r="V491" s="2"/>
    </row>
    <row r="492" spans="1:22" s="8" customFormat="1" ht="49.5" outlineLevel="1" x14ac:dyDescent="0.25">
      <c r="A492" s="1009"/>
      <c r="B492" s="1005"/>
      <c r="C492" s="294" t="s">
        <v>37</v>
      </c>
      <c r="D492" s="180">
        <f>101897.62*1.18</f>
        <v>120239.19159999999</v>
      </c>
      <c r="E492" s="181" t="s">
        <v>547</v>
      </c>
      <c r="F492" s="181" t="s">
        <v>548</v>
      </c>
      <c r="G492" s="182">
        <v>119946.7</v>
      </c>
      <c r="H492" s="183">
        <v>42381</v>
      </c>
      <c r="I492" s="183">
        <v>42381</v>
      </c>
      <c r="J492" s="184">
        <v>120239.19</v>
      </c>
      <c r="K492" s="184">
        <v>120239.19701600001</v>
      </c>
      <c r="L492" s="183"/>
      <c r="M492" s="184">
        <f t="shared" ref="M492" si="58">J492-D492</f>
        <v>-1.5999999886844307E-3</v>
      </c>
      <c r="N492" s="202"/>
      <c r="O492" s="283" t="s">
        <v>692</v>
      </c>
      <c r="P492" s="176"/>
      <c r="Q492" s="177"/>
      <c r="R492" s="132"/>
      <c r="S492" s="18"/>
      <c r="T492" s="2"/>
      <c r="U492" s="2"/>
      <c r="V492" s="2"/>
    </row>
    <row r="493" spans="1:22" s="8" customFormat="1" ht="17.25" outlineLevel="1" thickBot="1" x14ac:dyDescent="0.3">
      <c r="A493" s="1006" t="s">
        <v>628</v>
      </c>
      <c r="B493" s="1007"/>
      <c r="C493" s="454"/>
      <c r="D493" s="365">
        <f>SUM(D490:D492)</f>
        <v>11827586.6916</v>
      </c>
      <c r="E493" s="239"/>
      <c r="F493" s="239"/>
      <c r="G493" s="366">
        <f>SUM(G490:G492)</f>
        <v>9718735.3399999999</v>
      </c>
      <c r="H493" s="309"/>
      <c r="I493" s="494"/>
      <c r="J493" s="365">
        <f>SUM(J490:J492)</f>
        <v>8104786.6900000004</v>
      </c>
      <c r="K493" s="365">
        <f>SUM(K490:K492)</f>
        <v>8104786.6970159998</v>
      </c>
      <c r="L493" s="367"/>
      <c r="M493" s="365"/>
      <c r="N493" s="368">
        <f>AVERAGE(N490:N492)</f>
        <v>1</v>
      </c>
      <c r="O493" s="455"/>
      <c r="P493" s="176"/>
      <c r="Q493" s="177"/>
      <c r="R493" s="132"/>
      <c r="S493" s="18"/>
      <c r="T493" s="2"/>
      <c r="U493" s="2"/>
      <c r="V493" s="2"/>
    </row>
    <row r="494" spans="1:22" s="6" customFormat="1" ht="30.75" customHeight="1" x14ac:dyDescent="0.25">
      <c r="A494" s="1063">
        <v>51</v>
      </c>
      <c r="B494" s="1060" t="s">
        <v>144</v>
      </c>
      <c r="C494" s="275" t="s">
        <v>500</v>
      </c>
      <c r="D494" s="275">
        <v>4679783.09</v>
      </c>
      <c r="E494" s="273" t="s">
        <v>798</v>
      </c>
      <c r="F494" s="273" t="s">
        <v>799</v>
      </c>
      <c r="G494" s="486">
        <v>4364243.26</v>
      </c>
      <c r="H494" s="212">
        <v>42536</v>
      </c>
      <c r="I494" s="212">
        <v>42536</v>
      </c>
      <c r="J494" s="275">
        <v>4679783.09</v>
      </c>
      <c r="K494" s="275">
        <v>4679783.09</v>
      </c>
      <c r="L494" s="212"/>
      <c r="M494" s="498">
        <f t="shared" ref="M494:M495" si="59">J494-D494</f>
        <v>0</v>
      </c>
      <c r="N494" s="488">
        <v>1</v>
      </c>
      <c r="O494" s="489"/>
      <c r="P494" s="176"/>
      <c r="Q494" s="177"/>
      <c r="R494" s="132"/>
      <c r="S494" s="18"/>
      <c r="T494" s="9"/>
      <c r="U494" s="9"/>
      <c r="V494" s="9"/>
    </row>
    <row r="495" spans="1:22" s="8" customFormat="1" ht="49.5" outlineLevel="1" x14ac:dyDescent="0.25">
      <c r="A495" s="1009"/>
      <c r="B495" s="1005"/>
      <c r="C495" s="294" t="s">
        <v>37</v>
      </c>
      <c r="D495" s="180">
        <v>100218.75999999998</v>
      </c>
      <c r="E495" s="181" t="s">
        <v>557</v>
      </c>
      <c r="F495" s="181" t="s">
        <v>548</v>
      </c>
      <c r="G495" s="182">
        <f>84931.16*1.18</f>
        <v>100218.76880000001</v>
      </c>
      <c r="H495" s="183">
        <v>42424</v>
      </c>
      <c r="I495" s="183">
        <v>42415</v>
      </c>
      <c r="J495" s="184">
        <v>100218.75999999998</v>
      </c>
      <c r="K495" s="184">
        <v>100218.76000000001</v>
      </c>
      <c r="L495" s="183"/>
      <c r="M495" s="184">
        <f t="shared" si="59"/>
        <v>0</v>
      </c>
      <c r="N495" s="202"/>
      <c r="O495" s="283" t="s">
        <v>700</v>
      </c>
      <c r="P495" s="176"/>
      <c r="Q495" s="177"/>
      <c r="R495" s="132"/>
      <c r="S495" s="18"/>
      <c r="T495" s="2"/>
      <c r="U495" s="2"/>
      <c r="V495" s="2"/>
    </row>
    <row r="496" spans="1:22" s="8" customFormat="1" ht="17.25" outlineLevel="1" thickBot="1" x14ac:dyDescent="0.3">
      <c r="A496" s="1006" t="s">
        <v>628</v>
      </c>
      <c r="B496" s="1007"/>
      <c r="C496" s="454"/>
      <c r="D496" s="365">
        <f>SUM(D494:D495)</f>
        <v>4780001.8499999996</v>
      </c>
      <c r="E496" s="239"/>
      <c r="F496" s="239"/>
      <c r="G496" s="366">
        <f>SUM(G494:G495)</f>
        <v>4464462.0287999995</v>
      </c>
      <c r="H496" s="309"/>
      <c r="I496" s="321"/>
      <c r="J496" s="365">
        <f>SUM(J494:J495)</f>
        <v>4780001.8499999996</v>
      </c>
      <c r="K496" s="365">
        <f>SUM(K494:K495)</f>
        <v>4780001.8499999996</v>
      </c>
      <c r="L496" s="367"/>
      <c r="M496" s="365"/>
      <c r="N496" s="368">
        <f>AVERAGE(N494:N495)</f>
        <v>1</v>
      </c>
      <c r="O496" s="455"/>
      <c r="P496" s="176"/>
      <c r="Q496" s="177"/>
      <c r="R496" s="132"/>
      <c r="S496" s="18"/>
      <c r="T496" s="2"/>
      <c r="U496" s="2"/>
      <c r="V496" s="2"/>
    </row>
    <row r="497" spans="1:22" s="6" customFormat="1" ht="15" customHeight="1" x14ac:dyDescent="0.25">
      <c r="A497" s="1008">
        <v>52</v>
      </c>
      <c r="B497" s="1004" t="s">
        <v>121</v>
      </c>
      <c r="C497" s="162" t="s">
        <v>500</v>
      </c>
      <c r="D497" s="499">
        <v>3429904.82</v>
      </c>
      <c r="E497" s="984" t="s">
        <v>743</v>
      </c>
      <c r="F497" s="984" t="s">
        <v>661</v>
      </c>
      <c r="G497" s="353">
        <v>3399505.78</v>
      </c>
      <c r="H497" s="975">
        <v>42517</v>
      </c>
      <c r="I497" s="161">
        <v>42474</v>
      </c>
      <c r="J497" s="162">
        <v>3429904.8200000003</v>
      </c>
      <c r="K497" s="162">
        <v>3429904.8200000003</v>
      </c>
      <c r="L497" s="161"/>
      <c r="M497" s="316">
        <f t="shared" ref="M497" si="60">J497-D497</f>
        <v>0</v>
      </c>
      <c r="N497" s="200">
        <v>1</v>
      </c>
      <c r="O497" s="456"/>
      <c r="P497" s="176"/>
      <c r="Q497" s="177"/>
      <c r="R497" s="132"/>
      <c r="S497" s="18"/>
      <c r="T497" s="9"/>
      <c r="U497" s="9"/>
      <c r="V497" s="9"/>
    </row>
    <row r="498" spans="1:22" s="8" customFormat="1" ht="49.5" outlineLevel="1" x14ac:dyDescent="0.25">
      <c r="A498" s="1009"/>
      <c r="B498" s="1005"/>
      <c r="C498" s="163" t="s">
        <v>501</v>
      </c>
      <c r="D498" s="490">
        <v>7570000</v>
      </c>
      <c r="E498" s="986"/>
      <c r="F498" s="986"/>
      <c r="G498" s="354">
        <v>6471705.7000000002</v>
      </c>
      <c r="H498" s="977"/>
      <c r="I498" s="210">
        <v>42699</v>
      </c>
      <c r="J498" s="163">
        <v>4629949</v>
      </c>
      <c r="K498" s="163">
        <v>4629949</v>
      </c>
      <c r="L498" s="210">
        <v>42726</v>
      </c>
      <c r="M498" s="163"/>
      <c r="N498" s="213">
        <v>1</v>
      </c>
      <c r="O498" s="491"/>
      <c r="P498" s="176"/>
      <c r="Q498" s="177" t="s">
        <v>1127</v>
      </c>
      <c r="R498" s="132"/>
      <c r="S498" s="18"/>
      <c r="T498" s="2"/>
      <c r="U498" s="2"/>
      <c r="V498" s="2"/>
    </row>
    <row r="499" spans="1:22" s="8" customFormat="1" ht="49.5" outlineLevel="1" x14ac:dyDescent="0.25">
      <c r="A499" s="1009"/>
      <c r="B499" s="1005"/>
      <c r="C499" s="294" t="s">
        <v>37</v>
      </c>
      <c r="D499" s="180">
        <f>100357.5*1.18</f>
        <v>118421.84999999999</v>
      </c>
      <c r="E499" s="181" t="s">
        <v>547</v>
      </c>
      <c r="F499" s="181" t="s">
        <v>548</v>
      </c>
      <c r="G499" s="182">
        <v>118133.78</v>
      </c>
      <c r="H499" s="183">
        <v>42381</v>
      </c>
      <c r="I499" s="183">
        <v>42381</v>
      </c>
      <c r="J499" s="184">
        <v>118421.85</v>
      </c>
      <c r="K499" s="184">
        <v>118421.85084</v>
      </c>
      <c r="L499" s="183"/>
      <c r="M499" s="184">
        <f t="shared" ref="M499" si="61">J499-D499</f>
        <v>0</v>
      </c>
      <c r="N499" s="202"/>
      <c r="O499" s="283" t="s">
        <v>683</v>
      </c>
      <c r="P499" s="176"/>
      <c r="Q499" s="177"/>
      <c r="R499" s="132"/>
      <c r="S499" s="18"/>
      <c r="T499" s="2"/>
      <c r="U499" s="2"/>
      <c r="V499" s="2"/>
    </row>
    <row r="500" spans="1:22" s="8" customFormat="1" ht="17.25" outlineLevel="1" thickBot="1" x14ac:dyDescent="0.3">
      <c r="A500" s="1006" t="s">
        <v>628</v>
      </c>
      <c r="B500" s="1007"/>
      <c r="C500" s="454"/>
      <c r="D500" s="365">
        <f>SUM(D497:D499)</f>
        <v>11118326.67</v>
      </c>
      <c r="E500" s="239"/>
      <c r="F500" s="239"/>
      <c r="G500" s="366">
        <f>SUM(G497:G499)</f>
        <v>9989345.2599999998</v>
      </c>
      <c r="H500" s="309"/>
      <c r="I500" s="494"/>
      <c r="J500" s="365">
        <f>SUM(J497:J499)</f>
        <v>8178275.6699999999</v>
      </c>
      <c r="K500" s="365">
        <f>SUM(K497:K499)</f>
        <v>8178275.6708400007</v>
      </c>
      <c r="L500" s="367"/>
      <c r="M500" s="365"/>
      <c r="N500" s="395">
        <f>AVERAGE(N497:N499)</f>
        <v>1</v>
      </c>
      <c r="O500" s="455"/>
      <c r="P500" s="176"/>
      <c r="Q500" s="177"/>
      <c r="R500" s="132"/>
      <c r="S500" s="18"/>
      <c r="T500" s="2"/>
      <c r="U500" s="2"/>
      <c r="V500" s="2"/>
    </row>
    <row r="501" spans="1:22" s="6" customFormat="1" ht="49.5" x14ac:dyDescent="0.25">
      <c r="A501" s="1008">
        <v>53</v>
      </c>
      <c r="B501" s="1004" t="s">
        <v>507</v>
      </c>
      <c r="C501" s="162" t="s">
        <v>500</v>
      </c>
      <c r="D501" s="162">
        <v>3979966.48</v>
      </c>
      <c r="E501" s="197" t="s">
        <v>801</v>
      </c>
      <c r="F501" s="197" t="s">
        <v>802</v>
      </c>
      <c r="G501" s="353">
        <v>3918702.63</v>
      </c>
      <c r="H501" s="161">
        <v>42514</v>
      </c>
      <c r="I501" s="161">
        <v>42531</v>
      </c>
      <c r="J501" s="162">
        <v>3979966.4799999995</v>
      </c>
      <c r="K501" s="162">
        <v>3979966.4799999995</v>
      </c>
      <c r="L501" s="161"/>
      <c r="M501" s="316">
        <f t="shared" ref="M501:M502" si="62">J501-D501</f>
        <v>0</v>
      </c>
      <c r="N501" s="200">
        <v>1</v>
      </c>
      <c r="O501" s="456"/>
      <c r="P501" s="176"/>
      <c r="Q501" s="177"/>
      <c r="R501" s="132"/>
      <c r="S501" s="18"/>
      <c r="T501" s="9"/>
      <c r="U501" s="9"/>
      <c r="V501" s="9"/>
    </row>
    <row r="502" spans="1:22" s="8" customFormat="1" ht="49.5" outlineLevel="1" x14ac:dyDescent="0.25">
      <c r="A502" s="1009"/>
      <c r="B502" s="1005"/>
      <c r="C502" s="294" t="s">
        <v>37</v>
      </c>
      <c r="D502" s="180">
        <f>69811.92*1.18</f>
        <v>82378.065599999987</v>
      </c>
      <c r="E502" s="181" t="s">
        <v>557</v>
      </c>
      <c r="F502" s="181" t="s">
        <v>548</v>
      </c>
      <c r="G502" s="182">
        <v>82378.070000000007</v>
      </c>
      <c r="H502" s="183">
        <v>42424</v>
      </c>
      <c r="I502" s="183">
        <v>42415</v>
      </c>
      <c r="J502" s="184">
        <v>82378.070000000007</v>
      </c>
      <c r="K502" s="184">
        <v>82378.070000000007</v>
      </c>
      <c r="L502" s="183"/>
      <c r="M502" s="184">
        <f t="shared" si="62"/>
        <v>4.4000000198138878E-3</v>
      </c>
      <c r="N502" s="202"/>
      <c r="O502" s="283" t="s">
        <v>693</v>
      </c>
      <c r="P502" s="176"/>
      <c r="Q502" s="177"/>
      <c r="R502" s="132"/>
      <c r="S502" s="18"/>
      <c r="T502" s="2"/>
      <c r="U502" s="2"/>
      <c r="V502" s="2"/>
    </row>
    <row r="503" spans="1:22" s="8" customFormat="1" ht="17.25" outlineLevel="1" thickBot="1" x14ac:dyDescent="0.3">
      <c r="A503" s="1006" t="s">
        <v>628</v>
      </c>
      <c r="B503" s="1007"/>
      <c r="C503" s="454"/>
      <c r="D503" s="365">
        <f>SUM(D501:D502)</f>
        <v>4062344.5455999998</v>
      </c>
      <c r="E503" s="239"/>
      <c r="F503" s="239"/>
      <c r="G503" s="366">
        <f>SUM(G501:G502)</f>
        <v>4001080.6999999997</v>
      </c>
      <c r="H503" s="309"/>
      <c r="I503" s="321"/>
      <c r="J503" s="365">
        <f>SUM(J501:J502)</f>
        <v>4062344.5499999993</v>
      </c>
      <c r="K503" s="365">
        <f>SUM(K501:K502)</f>
        <v>4062344.5499999993</v>
      </c>
      <c r="L503" s="367"/>
      <c r="M503" s="365"/>
      <c r="N503" s="368">
        <f>AVERAGE(N501:N502)</f>
        <v>1</v>
      </c>
      <c r="O503" s="455"/>
      <c r="P503" s="176"/>
      <c r="Q503" s="177"/>
      <c r="R503" s="132"/>
      <c r="S503" s="18"/>
      <c r="T503" s="2"/>
      <c r="U503" s="2"/>
      <c r="V503" s="2"/>
    </row>
    <row r="504" spans="1:22" s="6" customFormat="1" ht="28.5" customHeight="1" x14ac:dyDescent="0.25">
      <c r="A504" s="1169">
        <v>54</v>
      </c>
      <c r="B504" s="1058" t="s">
        <v>145</v>
      </c>
      <c r="C504" s="162" t="s">
        <v>500</v>
      </c>
      <c r="D504" s="162">
        <v>3524920.2</v>
      </c>
      <c r="E504" s="197" t="s">
        <v>801</v>
      </c>
      <c r="F504" s="197" t="s">
        <v>802</v>
      </c>
      <c r="G504" s="353">
        <v>3490080.17</v>
      </c>
      <c r="H504" s="161">
        <v>42514</v>
      </c>
      <c r="I504" s="161">
        <v>42531</v>
      </c>
      <c r="J504" s="162">
        <v>3524920.2</v>
      </c>
      <c r="K504" s="162">
        <v>3524920.2</v>
      </c>
      <c r="L504" s="161"/>
      <c r="M504" s="316">
        <f t="shared" ref="M504:M505" si="63">J504-D504</f>
        <v>0</v>
      </c>
      <c r="N504" s="200">
        <v>1</v>
      </c>
      <c r="O504" s="456"/>
      <c r="P504" s="176"/>
      <c r="Q504" s="177"/>
      <c r="R504" s="132"/>
      <c r="S504" s="18"/>
      <c r="T504" s="9"/>
      <c r="U504" s="9"/>
      <c r="V504" s="9"/>
    </row>
    <row r="505" spans="1:22" s="8" customFormat="1" ht="49.5" outlineLevel="1" x14ac:dyDescent="0.25">
      <c r="A505" s="1063"/>
      <c r="B505" s="1060"/>
      <c r="C505" s="294" t="s">
        <v>37</v>
      </c>
      <c r="D505" s="180">
        <f>71942.14*1.18</f>
        <v>84891.725200000001</v>
      </c>
      <c r="E505" s="181" t="s">
        <v>557</v>
      </c>
      <c r="F505" s="181" t="s">
        <v>548</v>
      </c>
      <c r="G505" s="182">
        <f>71942.14*1.18</f>
        <v>84891.725200000001</v>
      </c>
      <c r="H505" s="183">
        <v>42424</v>
      </c>
      <c r="I505" s="183">
        <v>42415</v>
      </c>
      <c r="J505" s="184">
        <v>84891.73</v>
      </c>
      <c r="K505" s="184">
        <v>84891.73</v>
      </c>
      <c r="L505" s="183"/>
      <c r="M505" s="184">
        <f t="shared" si="63"/>
        <v>4.7999999951571226E-3</v>
      </c>
      <c r="N505" s="202"/>
      <c r="O505" s="283" t="s">
        <v>700</v>
      </c>
      <c r="P505" s="176"/>
      <c r="Q505" s="177"/>
      <c r="R505" s="132"/>
      <c r="S505" s="18"/>
      <c r="T505" s="2"/>
      <c r="U505" s="2"/>
      <c r="V505" s="2"/>
    </row>
    <row r="506" spans="1:22" s="8" customFormat="1" ht="17.25" outlineLevel="1" thickBot="1" x14ac:dyDescent="0.3">
      <c r="A506" s="1006" t="s">
        <v>628</v>
      </c>
      <c r="B506" s="1007"/>
      <c r="C506" s="454"/>
      <c r="D506" s="365">
        <f>SUM(D504:D505)</f>
        <v>3609811.9252000004</v>
      </c>
      <c r="E506" s="239"/>
      <c r="F506" s="239"/>
      <c r="G506" s="366">
        <f>SUM(G504:G505)</f>
        <v>3574971.8952000001</v>
      </c>
      <c r="H506" s="309"/>
      <c r="I506" s="321"/>
      <c r="J506" s="365">
        <f>SUM(J504:J505)</f>
        <v>3609811.93</v>
      </c>
      <c r="K506" s="365">
        <f>SUM(K504:K505)</f>
        <v>3609811.93</v>
      </c>
      <c r="L506" s="367"/>
      <c r="M506" s="365"/>
      <c r="N506" s="368">
        <f>AVERAGE(N504:N505)</f>
        <v>1</v>
      </c>
      <c r="O506" s="455"/>
      <c r="P506" s="176"/>
      <c r="Q506" s="177"/>
      <c r="R506" s="132"/>
      <c r="S506" s="18"/>
      <c r="T506" s="2"/>
      <c r="U506" s="2"/>
      <c r="V506" s="2"/>
    </row>
    <row r="507" spans="1:22" s="8" customFormat="1" ht="19.5" customHeight="1" outlineLevel="1" x14ac:dyDescent="0.25">
      <c r="A507" s="1130" t="s">
        <v>1097</v>
      </c>
      <c r="B507" s="1131"/>
      <c r="C507" s="1153"/>
      <c r="D507" s="324">
        <v>3981927.91</v>
      </c>
      <c r="E507" s="325"/>
      <c r="F507" s="326"/>
      <c r="G507" s="327">
        <f>SUM(G508:G518)</f>
        <v>3981927.91</v>
      </c>
      <c r="H507" s="328"/>
      <c r="I507" s="329"/>
      <c r="J507" s="324">
        <f>SUM(J508:J518)</f>
        <v>3255859.4</v>
      </c>
      <c r="K507" s="324">
        <f>SUM(K508:K518)</f>
        <v>3255859.4</v>
      </c>
      <c r="L507" s="330"/>
      <c r="M507" s="324"/>
      <c r="N507" s="331"/>
      <c r="O507" s="332"/>
      <c r="P507" s="176"/>
      <c r="Q507" s="446"/>
      <c r="R507" s="335"/>
      <c r="S507" s="2"/>
      <c r="T507" s="2"/>
      <c r="U507" s="2"/>
      <c r="V507" s="2"/>
    </row>
    <row r="508" spans="1:22" s="8" customFormat="1" ht="27" customHeight="1" outlineLevel="1" x14ac:dyDescent="0.25">
      <c r="A508" s="336"/>
      <c r="B508" s="527" t="s">
        <v>1254</v>
      </c>
      <c r="C508" s="281" t="s">
        <v>37</v>
      </c>
      <c r="D508" s="208"/>
      <c r="E508" s="990" t="s">
        <v>1265</v>
      </c>
      <c r="F508" s="993" t="s">
        <v>548</v>
      </c>
      <c r="G508" s="208">
        <v>156954.67000000001</v>
      </c>
      <c r="H508" s="1044">
        <v>42719</v>
      </c>
      <c r="I508" s="210" t="s">
        <v>1478</v>
      </c>
      <c r="J508" s="208">
        <v>133012.44</v>
      </c>
      <c r="K508" s="208">
        <v>133012.44</v>
      </c>
      <c r="L508" s="1101">
        <v>42774</v>
      </c>
      <c r="M508" s="414"/>
      <c r="N508" s="341"/>
      <c r="O508" s="342"/>
      <c r="P508" s="528"/>
      <c r="Q508" s="446"/>
      <c r="R508" s="335"/>
      <c r="S508" s="2"/>
      <c r="T508" s="2"/>
      <c r="U508" s="2"/>
      <c r="V508" s="2"/>
    </row>
    <row r="509" spans="1:22" s="8" customFormat="1" ht="27.75" customHeight="1" outlineLevel="1" x14ac:dyDescent="0.25">
      <c r="A509" s="336"/>
      <c r="B509" s="527" t="s">
        <v>1255</v>
      </c>
      <c r="C509" s="281" t="s">
        <v>37</v>
      </c>
      <c r="D509" s="208"/>
      <c r="E509" s="991"/>
      <c r="F509" s="994"/>
      <c r="G509" s="208">
        <v>291863.45</v>
      </c>
      <c r="H509" s="976"/>
      <c r="I509" s="210" t="s">
        <v>1479</v>
      </c>
      <c r="J509" s="208">
        <v>128686.13</v>
      </c>
      <c r="K509" s="208">
        <v>128686.13</v>
      </c>
      <c r="L509" s="1102"/>
      <c r="M509" s="414"/>
      <c r="N509" s="341"/>
      <c r="O509" s="342"/>
      <c r="P509" s="528"/>
      <c r="Q509" s="446"/>
      <c r="R509" s="335"/>
      <c r="S509" s="2"/>
      <c r="T509" s="2"/>
      <c r="U509" s="2"/>
      <c r="V509" s="2"/>
    </row>
    <row r="510" spans="1:22" s="8" customFormat="1" ht="24.75" customHeight="1" outlineLevel="1" x14ac:dyDescent="0.25">
      <c r="A510" s="336"/>
      <c r="B510" s="527" t="s">
        <v>1256</v>
      </c>
      <c r="C510" s="281" t="s">
        <v>37</v>
      </c>
      <c r="D510" s="208"/>
      <c r="E510" s="991"/>
      <c r="F510" s="994"/>
      <c r="G510" s="208">
        <v>121191.34</v>
      </c>
      <c r="H510" s="976"/>
      <c r="I510" s="210" t="s">
        <v>1480</v>
      </c>
      <c r="J510" s="208">
        <v>102704.53</v>
      </c>
      <c r="K510" s="208">
        <v>102704.53</v>
      </c>
      <c r="L510" s="1102"/>
      <c r="M510" s="414"/>
      <c r="N510" s="341"/>
      <c r="O510" s="342"/>
      <c r="P510" s="528"/>
      <c r="Q510" s="446"/>
      <c r="R510" s="335"/>
      <c r="S510" s="2"/>
      <c r="T510" s="2"/>
      <c r="U510" s="2"/>
      <c r="V510" s="2"/>
    </row>
    <row r="511" spans="1:22" s="8" customFormat="1" ht="26.25" customHeight="1" outlineLevel="1" x14ac:dyDescent="0.25">
      <c r="A511" s="336"/>
      <c r="B511" s="527" t="s">
        <v>1257</v>
      </c>
      <c r="C511" s="281" t="s">
        <v>37</v>
      </c>
      <c r="D511" s="208"/>
      <c r="E511" s="991"/>
      <c r="F511" s="994"/>
      <c r="G511" s="208">
        <v>507760.58</v>
      </c>
      <c r="H511" s="976"/>
      <c r="I511" s="210" t="s">
        <v>1481</v>
      </c>
      <c r="J511" s="208">
        <v>430305.56</v>
      </c>
      <c r="K511" s="208">
        <v>430305.56</v>
      </c>
      <c r="L511" s="1102"/>
      <c r="M511" s="414"/>
      <c r="N511" s="341"/>
      <c r="O511" s="342"/>
      <c r="P511" s="528"/>
      <c r="Q511" s="446"/>
      <c r="R511" s="335"/>
      <c r="S511" s="2"/>
      <c r="T511" s="2"/>
      <c r="U511" s="2"/>
      <c r="V511" s="2"/>
    </row>
    <row r="512" spans="1:22" s="8" customFormat="1" ht="27.75" customHeight="1" outlineLevel="1" x14ac:dyDescent="0.25">
      <c r="A512" s="336"/>
      <c r="B512" s="527" t="s">
        <v>1258</v>
      </c>
      <c r="C512" s="281" t="s">
        <v>37</v>
      </c>
      <c r="D512" s="208"/>
      <c r="E512" s="991"/>
      <c r="F512" s="994"/>
      <c r="G512" s="208">
        <v>360444.73</v>
      </c>
      <c r="H512" s="976"/>
      <c r="I512" s="210" t="s">
        <v>1482</v>
      </c>
      <c r="J512" s="208">
        <v>305461.64</v>
      </c>
      <c r="K512" s="208">
        <v>305461.64</v>
      </c>
      <c r="L512" s="1102"/>
      <c r="M512" s="414"/>
      <c r="N512" s="341"/>
      <c r="O512" s="342"/>
      <c r="P512" s="528"/>
      <c r="Q512" s="446"/>
      <c r="R512" s="335"/>
      <c r="S512" s="2"/>
      <c r="T512" s="2"/>
      <c r="U512" s="2"/>
      <c r="V512" s="2"/>
    </row>
    <row r="513" spans="1:22" s="8" customFormat="1" ht="27" customHeight="1" outlineLevel="1" x14ac:dyDescent="0.25">
      <c r="A513" s="336"/>
      <c r="B513" s="527" t="s">
        <v>1259</v>
      </c>
      <c r="C513" s="281" t="s">
        <v>37</v>
      </c>
      <c r="D513" s="208"/>
      <c r="E513" s="991"/>
      <c r="F513" s="994"/>
      <c r="G513" s="208">
        <v>79666.84</v>
      </c>
      <c r="H513" s="976"/>
      <c r="I513" s="210" t="s">
        <v>1483</v>
      </c>
      <c r="J513" s="208">
        <v>67514.27</v>
      </c>
      <c r="K513" s="208">
        <v>67514.27</v>
      </c>
      <c r="L513" s="1102"/>
      <c r="M513" s="414"/>
      <c r="N513" s="341"/>
      <c r="O513" s="342"/>
      <c r="P513" s="528"/>
      <c r="Q513" s="446"/>
      <c r="R513" s="335"/>
      <c r="S513" s="2"/>
      <c r="T513" s="2"/>
      <c r="U513" s="2"/>
      <c r="V513" s="2"/>
    </row>
    <row r="514" spans="1:22" s="8" customFormat="1" ht="19.5" customHeight="1" outlineLevel="1" x14ac:dyDescent="0.25">
      <c r="A514" s="336"/>
      <c r="B514" s="527" t="s">
        <v>1260</v>
      </c>
      <c r="C514" s="281" t="s">
        <v>37</v>
      </c>
      <c r="D514" s="208"/>
      <c r="E514" s="991"/>
      <c r="F514" s="994"/>
      <c r="G514" s="208">
        <v>629648.16</v>
      </c>
      <c r="H514" s="976"/>
      <c r="I514" s="210" t="s">
        <v>1484</v>
      </c>
      <c r="J514" s="208">
        <v>533600.14</v>
      </c>
      <c r="K514" s="208">
        <v>533600.14</v>
      </c>
      <c r="L514" s="1102"/>
      <c r="M514" s="414"/>
      <c r="N514" s="341"/>
      <c r="O514" s="342"/>
      <c r="P514" s="528"/>
      <c r="Q514" s="446"/>
      <c r="R514" s="335"/>
      <c r="S514" s="2"/>
      <c r="T514" s="2"/>
      <c r="U514" s="2"/>
      <c r="V514" s="2"/>
    </row>
    <row r="515" spans="1:22" s="8" customFormat="1" ht="19.5" customHeight="1" outlineLevel="1" x14ac:dyDescent="0.25">
      <c r="A515" s="336"/>
      <c r="B515" s="527" t="s">
        <v>1261</v>
      </c>
      <c r="C515" s="281" t="s">
        <v>37</v>
      </c>
      <c r="D515" s="208"/>
      <c r="E515" s="991"/>
      <c r="F515" s="994"/>
      <c r="G515" s="208">
        <v>683978.86</v>
      </c>
      <c r="H515" s="976"/>
      <c r="I515" s="210" t="s">
        <v>1485</v>
      </c>
      <c r="J515" s="208">
        <v>579643.1</v>
      </c>
      <c r="K515" s="208">
        <v>579643.1</v>
      </c>
      <c r="L515" s="1102"/>
      <c r="M515" s="414"/>
      <c r="N515" s="341"/>
      <c r="O515" s="342"/>
      <c r="P515" s="528"/>
      <c r="Q515" s="446"/>
      <c r="R515" s="335"/>
      <c r="S515" s="2"/>
      <c r="T515" s="2"/>
      <c r="U515" s="2"/>
      <c r="V515" s="2"/>
    </row>
    <row r="516" spans="1:22" s="8" customFormat="1" ht="19.5" customHeight="1" outlineLevel="1" x14ac:dyDescent="0.25">
      <c r="A516" s="336"/>
      <c r="B516" s="527" t="s">
        <v>1262</v>
      </c>
      <c r="C516" s="281" t="s">
        <v>37</v>
      </c>
      <c r="D516" s="208"/>
      <c r="E516" s="991"/>
      <c r="F516" s="994"/>
      <c r="G516" s="208">
        <v>692933.94</v>
      </c>
      <c r="H516" s="976"/>
      <c r="I516" s="210" t="s">
        <v>1486</v>
      </c>
      <c r="J516" s="208">
        <v>587232.15</v>
      </c>
      <c r="K516" s="208">
        <v>587232.15</v>
      </c>
      <c r="L516" s="1102"/>
      <c r="M516" s="414"/>
      <c r="N516" s="341"/>
      <c r="O516" s="342"/>
      <c r="P516" s="528"/>
      <c r="Q516" s="446"/>
      <c r="R516" s="335"/>
      <c r="S516" s="2"/>
      <c r="T516" s="2"/>
      <c r="U516" s="2"/>
      <c r="V516" s="2"/>
    </row>
    <row r="517" spans="1:22" s="8" customFormat="1" ht="19.5" customHeight="1" outlineLevel="1" x14ac:dyDescent="0.25">
      <c r="A517" s="336"/>
      <c r="B517" s="527" t="s">
        <v>1263</v>
      </c>
      <c r="C517" s="281" t="s">
        <v>37</v>
      </c>
      <c r="D517" s="208"/>
      <c r="E517" s="991"/>
      <c r="F517" s="994"/>
      <c r="G517" s="208">
        <v>226153.64</v>
      </c>
      <c r="H517" s="976"/>
      <c r="I517" s="210" t="s">
        <v>1487</v>
      </c>
      <c r="J517" s="208">
        <v>191655.63</v>
      </c>
      <c r="K517" s="208">
        <v>191655.63</v>
      </c>
      <c r="L517" s="1102"/>
      <c r="M517" s="414"/>
      <c r="N517" s="341"/>
      <c r="O517" s="342"/>
      <c r="P517" s="528"/>
      <c r="Q517" s="446"/>
      <c r="R517" s="335"/>
      <c r="S517" s="2"/>
      <c r="T517" s="2"/>
      <c r="U517" s="2"/>
      <c r="V517" s="2"/>
    </row>
    <row r="518" spans="1:22" s="8" customFormat="1" ht="19.5" customHeight="1" outlineLevel="1" x14ac:dyDescent="0.25">
      <c r="A518" s="336"/>
      <c r="B518" s="527" t="s">
        <v>1264</v>
      </c>
      <c r="C518" s="281" t="s">
        <v>37</v>
      </c>
      <c r="D518" s="208"/>
      <c r="E518" s="992"/>
      <c r="F518" s="995"/>
      <c r="G518" s="208">
        <v>231331.7</v>
      </c>
      <c r="H518" s="977"/>
      <c r="I518" s="210" t="s">
        <v>1488</v>
      </c>
      <c r="J518" s="208">
        <v>196043.81</v>
      </c>
      <c r="K518" s="208">
        <v>196043.81</v>
      </c>
      <c r="L518" s="1043"/>
      <c r="M518" s="414"/>
      <c r="N518" s="341"/>
      <c r="O518" s="342"/>
      <c r="P518" s="528"/>
      <c r="Q518" s="446"/>
      <c r="R518" s="335"/>
      <c r="S518" s="2"/>
      <c r="T518" s="2"/>
      <c r="U518" s="2"/>
      <c r="V518" s="2"/>
    </row>
    <row r="519" spans="1:22" s="8" customFormat="1" ht="17.25" outlineLevel="1" thickBot="1" x14ac:dyDescent="0.3">
      <c r="A519" s="1014" t="s">
        <v>629</v>
      </c>
      <c r="B519" s="1015"/>
      <c r="C519" s="483"/>
      <c r="D519" s="426">
        <f>SUM(D506,D503,D500,D496,D493,D489,D487,D484,D481,D477,D474,D468,D462,D460,D457,D455,D451,D447,D444,D441,D438,D436,D433,D431,D427,D424,D421,D418,D415,D412,D409,D407,D401,D398,D395,D391,D388,D385,D382,D378,D375,D372,D370,D367,D362,D358,D356,D352,D349,D346,D341,D338,D334,D331,D507)</f>
        <v>404759445.03420007</v>
      </c>
      <c r="E519" s="346"/>
      <c r="F519" s="346"/>
      <c r="G519" s="426">
        <f>SUM(G506,G503,G500,G496,G493,G489,G487,G484,G481,G477,G474,G468,G462,G460,G457,G455,G451,G447,G444,G441,G438,G436,G433,G431,G427,G424,G421,G418,G415,G412,G409,G407,G401,G398,G395,G391,G388,G385,G382,G378,G375,G372,G370,G367,G362,G358,G356,G352,G349,G346,G341,G338,G334,G331,G507)</f>
        <v>395031783.27779996</v>
      </c>
      <c r="H519" s="529"/>
      <c r="I519" s="347"/>
      <c r="J519" s="426">
        <f>SUM(J506,J503,J500,J496,J493,J489,J487,J484,J481,J477,J474,J468,J462,J460,J457,J455,J451,J447,J444,J441,J438,J436,J433,J431,J427,J424,J421,J418,J415,J412,J409,J407,J401,J398,J395,J391,J388,J385,J382,J378,J375,J372,J370,J367,J362,J358,J356,J352,J349,J346,J341,J338,J334,J331,J507)</f>
        <v>248671044.25038403</v>
      </c>
      <c r="K519" s="426">
        <f>SUM(K506,K503,K500,K496,K493,K489,K487,K484,K481,K477,K474,K468,K462,K460,K457,K455,K451,K447,K444,K441,K438,K436,K433,K431,K427,K424,K421,K418,K415,K412,K409,K407,K401,K398,K395,K391,K388,K385,K382,K378,K375,K372,K370,K367,K362,K358,K356,K352,K349,K346,K341,K338,K334,K331,K507)</f>
        <v>248671044.24484798</v>
      </c>
      <c r="L519" s="425"/>
      <c r="M519" s="426"/>
      <c r="N519" s="427" t="e">
        <f>AVERAGE(N506,N503,N500,N496,N493,N489,N487,N484,N481,N477,N474,N468,N462,N460,N457,N455,N451,N447,N444,N441,N438,N436,N433,N431,N427,N424,N421,N418,N415,N412,N409,N407,N401,N398,N395,N391,N388,N385,N382,N378,N375,N372,N370,N367,N362,N358,N356,N352,N349,N346,N341,N338,N334,N331)</f>
        <v>#DIV/0!</v>
      </c>
      <c r="O519" s="484"/>
      <c r="P519" s="176"/>
      <c r="Q519" s="177"/>
      <c r="R519" s="132"/>
      <c r="S519" s="18"/>
      <c r="T519" s="2"/>
      <c r="U519" s="2"/>
      <c r="V519" s="2"/>
    </row>
    <row r="520" spans="1:22" s="6" customFormat="1" ht="24.75" customHeight="1" x14ac:dyDescent="0.25">
      <c r="A520" s="1036" t="s">
        <v>635</v>
      </c>
      <c r="B520" s="1037"/>
      <c r="C520" s="1037"/>
      <c r="D520" s="1037"/>
      <c r="E520" s="1037"/>
      <c r="F520" s="1037"/>
      <c r="G520" s="1037"/>
      <c r="H520" s="1037"/>
      <c r="I520" s="1037"/>
      <c r="J520" s="1037"/>
      <c r="K520" s="1037"/>
      <c r="L520" s="1037"/>
      <c r="M520" s="1037"/>
      <c r="N520" s="1037"/>
      <c r="O520" s="1037"/>
      <c r="P520" s="176"/>
      <c r="Q520" s="177"/>
      <c r="R520" s="132"/>
      <c r="S520" s="18"/>
      <c r="T520" s="9"/>
      <c r="U520" s="9"/>
      <c r="V520" s="9"/>
    </row>
    <row r="521" spans="1:22" ht="33" outlineLevel="1" x14ac:dyDescent="0.25">
      <c r="A521" s="1028"/>
      <c r="B521" s="1026" t="s">
        <v>146</v>
      </c>
      <c r="C521" s="253" t="s">
        <v>35</v>
      </c>
      <c r="D521" s="163">
        <v>405756.7</v>
      </c>
      <c r="E521" s="163" t="s">
        <v>1027</v>
      </c>
      <c r="F521" s="253" t="s">
        <v>1026</v>
      </c>
      <c r="G521" s="354">
        <v>405756.7</v>
      </c>
      <c r="H521" s="210">
        <v>42612</v>
      </c>
      <c r="I521" s="210">
        <v>42704</v>
      </c>
      <c r="J521" s="163">
        <v>248415.89</v>
      </c>
      <c r="K521" s="163">
        <v>248415.89</v>
      </c>
      <c r="L521" s="210">
        <v>42732</v>
      </c>
      <c r="M521" s="163"/>
      <c r="N521" s="213">
        <v>1</v>
      </c>
      <c r="O521" s="301"/>
      <c r="P521" s="176"/>
      <c r="Q521" s="530" t="s">
        <v>1128</v>
      </c>
      <c r="R521" s="132"/>
    </row>
    <row r="522" spans="1:22" ht="33" outlineLevel="1" x14ac:dyDescent="0.25">
      <c r="A522" s="1028"/>
      <c r="B522" s="1026"/>
      <c r="C522" s="253" t="s">
        <v>36</v>
      </c>
      <c r="D522" s="163">
        <v>288025.84000000003</v>
      </c>
      <c r="E522" s="163" t="s">
        <v>1027</v>
      </c>
      <c r="F522" s="253" t="s">
        <v>1026</v>
      </c>
      <c r="G522" s="354">
        <v>288025.84000000003</v>
      </c>
      <c r="H522" s="210">
        <v>42612</v>
      </c>
      <c r="I522" s="210">
        <v>42704</v>
      </c>
      <c r="J522" s="163">
        <v>262759.05</v>
      </c>
      <c r="K522" s="163">
        <v>262759.05</v>
      </c>
      <c r="L522" s="210">
        <v>42732</v>
      </c>
      <c r="M522" s="163"/>
      <c r="N522" s="213">
        <v>1</v>
      </c>
      <c r="O522" s="301"/>
      <c r="P522" s="176"/>
      <c r="Q522" s="530" t="s">
        <v>1128</v>
      </c>
      <c r="R522" s="132"/>
    </row>
    <row r="523" spans="1:22" s="75" customFormat="1" ht="33" outlineLevel="1" x14ac:dyDescent="0.25">
      <c r="A523" s="1028"/>
      <c r="B523" s="1026"/>
      <c r="C523" s="253" t="s">
        <v>500</v>
      </c>
      <c r="D523" s="163">
        <v>2146362.39</v>
      </c>
      <c r="E523" s="163" t="s">
        <v>1027</v>
      </c>
      <c r="F523" s="253" t="s">
        <v>1026</v>
      </c>
      <c r="G523" s="354">
        <v>2146362.39</v>
      </c>
      <c r="H523" s="210">
        <v>42767</v>
      </c>
      <c r="I523" s="210">
        <v>42714</v>
      </c>
      <c r="J523" s="163">
        <v>2314292.87</v>
      </c>
      <c r="K523" s="163">
        <v>2314292.87</v>
      </c>
      <c r="L523" s="210">
        <v>42732</v>
      </c>
      <c r="M523" s="163"/>
      <c r="N523" s="213">
        <v>0.2</v>
      </c>
      <c r="O523" s="531"/>
      <c r="P523" s="457"/>
      <c r="Q523" s="532"/>
      <c r="R523" s="383"/>
      <c r="S523" s="67"/>
      <c r="T523" s="67"/>
      <c r="U523" s="67"/>
      <c r="V523" s="67"/>
    </row>
    <row r="524" spans="1:22" ht="33" outlineLevel="1" x14ac:dyDescent="0.25">
      <c r="A524" s="1028"/>
      <c r="B524" s="1026"/>
      <c r="C524" s="337" t="s">
        <v>501</v>
      </c>
      <c r="D524" s="303">
        <v>5587196.1600000001</v>
      </c>
      <c r="E524" s="173" t="s">
        <v>1284</v>
      </c>
      <c r="F524" s="432" t="s">
        <v>661</v>
      </c>
      <c r="G524" s="459">
        <v>5587196.1600000001</v>
      </c>
      <c r="H524" s="171">
        <v>42917</v>
      </c>
      <c r="I524" s="172"/>
      <c r="J524" s="173"/>
      <c r="K524" s="173"/>
      <c r="L524" s="171"/>
      <c r="M524" s="173"/>
      <c r="N524" s="460">
        <v>0</v>
      </c>
      <c r="O524" s="301"/>
      <c r="P524" s="176">
        <v>2017</v>
      </c>
      <c r="Q524" s="177"/>
      <c r="R524" s="132"/>
    </row>
    <row r="525" spans="1:22" ht="33" outlineLevel="1" x14ac:dyDescent="0.25">
      <c r="A525" s="1028"/>
      <c r="B525" s="1026"/>
      <c r="C525" s="337" t="s">
        <v>1095</v>
      </c>
      <c r="D525" s="303">
        <v>60780</v>
      </c>
      <c r="E525" s="173"/>
      <c r="F525" s="432"/>
      <c r="G525" s="459"/>
      <c r="H525" s="171"/>
      <c r="I525" s="172"/>
      <c r="J525" s="173"/>
      <c r="K525" s="173"/>
      <c r="L525" s="171"/>
      <c r="M525" s="173"/>
      <c r="N525" s="460"/>
      <c r="O525" s="301"/>
      <c r="P525" s="176"/>
      <c r="Q525" s="177"/>
      <c r="R525" s="132"/>
    </row>
    <row r="526" spans="1:22" ht="49.5" outlineLevel="1" x14ac:dyDescent="0.25">
      <c r="A526" s="1028"/>
      <c r="B526" s="1026"/>
      <c r="C526" s="356" t="s">
        <v>37</v>
      </c>
      <c r="D526" s="357">
        <v>170376.12</v>
      </c>
      <c r="E526" s="361" t="s">
        <v>550</v>
      </c>
      <c r="F526" s="358" t="s">
        <v>541</v>
      </c>
      <c r="G526" s="359">
        <v>201679.44</v>
      </c>
      <c r="H526" s="360">
        <v>42460</v>
      </c>
      <c r="I526" s="360">
        <v>42475</v>
      </c>
      <c r="J526" s="361">
        <v>170376.12</v>
      </c>
      <c r="K526" s="361">
        <v>170376.12</v>
      </c>
      <c r="L526" s="360"/>
      <c r="M526" s="361"/>
      <c r="N526" s="362"/>
      <c r="O526" s="466" t="s">
        <v>702</v>
      </c>
      <c r="P526" s="176"/>
      <c r="Q526" s="177"/>
      <c r="R526" s="132"/>
    </row>
    <row r="527" spans="1:22" ht="17.25" outlineLevel="1" thickBot="1" x14ac:dyDescent="0.3">
      <c r="A527" s="1006" t="s">
        <v>628</v>
      </c>
      <c r="B527" s="1007"/>
      <c r="C527" s="364"/>
      <c r="D527" s="365">
        <f>SUM(D521:D526)</f>
        <v>8658497.209999999</v>
      </c>
      <c r="E527" s="239"/>
      <c r="F527" s="239"/>
      <c r="G527" s="366">
        <f>SUM(G521:G526)</f>
        <v>8629020.5299999993</v>
      </c>
      <c r="H527" s="239"/>
      <c r="I527" s="321"/>
      <c r="J527" s="191">
        <f>SUM(J521:J526)</f>
        <v>2995843.93</v>
      </c>
      <c r="K527" s="365">
        <f>SUM(K521:K526)</f>
        <v>2995843.93</v>
      </c>
      <c r="L527" s="367"/>
      <c r="M527" s="365"/>
      <c r="N527" s="368">
        <f>AVERAGE(N521:N526)</f>
        <v>0.55000000000000004</v>
      </c>
      <c r="O527" s="369"/>
      <c r="P527" s="176"/>
      <c r="Q527" s="177"/>
      <c r="R527" s="132"/>
    </row>
    <row r="528" spans="1:22" ht="33" outlineLevel="1" x14ac:dyDescent="0.25">
      <c r="A528" s="1027"/>
      <c r="B528" s="1025" t="s">
        <v>147</v>
      </c>
      <c r="C528" s="197" t="s">
        <v>35</v>
      </c>
      <c r="D528" s="162">
        <v>315890.28999999998</v>
      </c>
      <c r="E528" s="162" t="s">
        <v>1027</v>
      </c>
      <c r="F528" s="197" t="s">
        <v>1026</v>
      </c>
      <c r="G528" s="353">
        <v>315890.28999999998</v>
      </c>
      <c r="H528" s="161">
        <v>42612</v>
      </c>
      <c r="I528" s="161">
        <v>42704</v>
      </c>
      <c r="J528" s="162">
        <v>238068.86</v>
      </c>
      <c r="K528" s="162">
        <v>238068.86</v>
      </c>
      <c r="L528" s="161">
        <v>42732</v>
      </c>
      <c r="M528" s="533"/>
      <c r="N528" s="534">
        <v>1</v>
      </c>
      <c r="O528" s="301"/>
      <c r="P528" s="176"/>
      <c r="Q528" s="530" t="s">
        <v>1128</v>
      </c>
      <c r="R528" s="132"/>
    </row>
    <row r="529" spans="1:22" ht="33" outlineLevel="1" x14ac:dyDescent="0.25">
      <c r="A529" s="1028"/>
      <c r="B529" s="1026"/>
      <c r="C529" s="253" t="s">
        <v>36</v>
      </c>
      <c r="D529" s="163">
        <v>261624.71</v>
      </c>
      <c r="E529" s="163" t="s">
        <v>1027</v>
      </c>
      <c r="F529" s="253" t="s">
        <v>1026</v>
      </c>
      <c r="G529" s="354">
        <v>261624.71</v>
      </c>
      <c r="H529" s="210">
        <v>42612</v>
      </c>
      <c r="I529" s="210">
        <v>42704</v>
      </c>
      <c r="J529" s="163">
        <v>244609.6</v>
      </c>
      <c r="K529" s="163">
        <v>244609.6</v>
      </c>
      <c r="L529" s="210">
        <v>42732</v>
      </c>
      <c r="M529" s="535"/>
      <c r="N529" s="534">
        <v>1</v>
      </c>
      <c r="O529" s="301"/>
      <c r="P529" s="176"/>
      <c r="Q529" s="530" t="s">
        <v>1128</v>
      </c>
      <c r="R529" s="132"/>
    </row>
    <row r="530" spans="1:22" s="75" customFormat="1" ht="33" outlineLevel="1" x14ac:dyDescent="0.25">
      <c r="A530" s="1028"/>
      <c r="B530" s="1026"/>
      <c r="C530" s="253" t="s">
        <v>500</v>
      </c>
      <c r="D530" s="163">
        <v>1587277.48</v>
      </c>
      <c r="E530" s="163" t="s">
        <v>1027</v>
      </c>
      <c r="F530" s="253" t="s">
        <v>1026</v>
      </c>
      <c r="G530" s="354">
        <v>1587277.48</v>
      </c>
      <c r="H530" s="210">
        <v>42673</v>
      </c>
      <c r="I530" s="210">
        <v>42714</v>
      </c>
      <c r="J530" s="163">
        <v>1710505.75</v>
      </c>
      <c r="K530" s="163">
        <v>1710505.75</v>
      </c>
      <c r="L530" s="210">
        <v>42732</v>
      </c>
      <c r="M530" s="535"/>
      <c r="N530" s="534">
        <v>0.9</v>
      </c>
      <c r="O530" s="531"/>
      <c r="P530" s="457"/>
      <c r="Q530" s="536"/>
      <c r="R530" s="383"/>
      <c r="S530" s="67"/>
      <c r="T530" s="67"/>
      <c r="U530" s="67"/>
      <c r="V530" s="67"/>
    </row>
    <row r="531" spans="1:22" ht="33" outlineLevel="1" x14ac:dyDescent="0.25">
      <c r="A531" s="1028"/>
      <c r="B531" s="1026"/>
      <c r="C531" s="337" t="s">
        <v>501</v>
      </c>
      <c r="D531" s="303">
        <v>5443614.9400000004</v>
      </c>
      <c r="E531" s="173" t="s">
        <v>1284</v>
      </c>
      <c r="F531" s="432" t="s">
        <v>661</v>
      </c>
      <c r="G531" s="459">
        <v>5443614.9400000004</v>
      </c>
      <c r="H531" s="171">
        <v>42917</v>
      </c>
      <c r="I531" s="172"/>
      <c r="J531" s="173"/>
      <c r="K531" s="173"/>
      <c r="L531" s="171"/>
      <c r="M531" s="446"/>
      <c r="N531" s="537">
        <v>0</v>
      </c>
      <c r="O531" s="301"/>
      <c r="P531" s="176">
        <v>2017</v>
      </c>
      <c r="Q531" s="177"/>
      <c r="R531" s="132"/>
    </row>
    <row r="532" spans="1:22" ht="33" outlineLevel="1" x14ac:dyDescent="0.25">
      <c r="A532" s="1028"/>
      <c r="B532" s="1026"/>
      <c r="C532" s="337" t="s">
        <v>1095</v>
      </c>
      <c r="D532" s="303">
        <v>46330</v>
      </c>
      <c r="E532" s="173"/>
      <c r="F532" s="432"/>
      <c r="G532" s="459"/>
      <c r="H532" s="171"/>
      <c r="I532" s="172"/>
      <c r="J532" s="173"/>
      <c r="K532" s="173"/>
      <c r="L532" s="171"/>
      <c r="M532" s="446"/>
      <c r="N532" s="537"/>
      <c r="O532" s="301"/>
      <c r="P532" s="176"/>
      <c r="Q532" s="177"/>
      <c r="R532" s="132"/>
    </row>
    <row r="533" spans="1:22" ht="49.5" outlineLevel="1" x14ac:dyDescent="0.25">
      <c r="A533" s="1028"/>
      <c r="B533" s="1026"/>
      <c r="C533" s="356" t="s">
        <v>37</v>
      </c>
      <c r="D533" s="357">
        <v>161211.22</v>
      </c>
      <c r="E533" s="361" t="s">
        <v>550</v>
      </c>
      <c r="F533" s="358" t="s">
        <v>541</v>
      </c>
      <c r="G533" s="359">
        <v>190814.27</v>
      </c>
      <c r="H533" s="360">
        <v>42460</v>
      </c>
      <c r="I533" s="360">
        <v>42475</v>
      </c>
      <c r="J533" s="361">
        <v>161211.21999999997</v>
      </c>
      <c r="K533" s="361">
        <v>161211.21999999997</v>
      </c>
      <c r="L533" s="360"/>
      <c r="M533" s="538"/>
      <c r="N533" s="539"/>
      <c r="O533" s="466" t="s">
        <v>702</v>
      </c>
      <c r="P533" s="176"/>
      <c r="Q533" s="177"/>
      <c r="R533" s="132"/>
    </row>
    <row r="534" spans="1:22" ht="17.25" outlineLevel="1" thickBot="1" x14ac:dyDescent="0.3">
      <c r="A534" s="1006" t="s">
        <v>628</v>
      </c>
      <c r="B534" s="1007"/>
      <c r="C534" s="364"/>
      <c r="D534" s="365">
        <f>SUM(D528:D533)</f>
        <v>7815948.6399999997</v>
      </c>
      <c r="E534" s="239"/>
      <c r="F534" s="239"/>
      <c r="G534" s="366">
        <f>SUM(G528:G533)</f>
        <v>7799221.6899999995</v>
      </c>
      <c r="H534" s="239"/>
      <c r="I534" s="321"/>
      <c r="J534" s="191">
        <f>SUM(J528:J533)</f>
        <v>2354395.4299999997</v>
      </c>
      <c r="K534" s="365">
        <f>SUM(K528:K533)</f>
        <v>2354395.4299999997</v>
      </c>
      <c r="L534" s="367"/>
      <c r="M534" s="540"/>
      <c r="N534" s="541">
        <f>AVERAGE(N528:N533)</f>
        <v>0.72499999999999998</v>
      </c>
      <c r="O534" s="381"/>
      <c r="P534" s="176"/>
      <c r="Q534" s="177"/>
      <c r="R534" s="132"/>
    </row>
    <row r="535" spans="1:22" ht="33" outlineLevel="1" x14ac:dyDescent="0.25">
      <c r="A535" s="1062"/>
      <c r="B535" s="1061" t="s">
        <v>148</v>
      </c>
      <c r="C535" s="273" t="s">
        <v>35</v>
      </c>
      <c r="D535" s="275">
        <v>405756.72</v>
      </c>
      <c r="E535" s="275" t="s">
        <v>1027</v>
      </c>
      <c r="F535" s="273" t="s">
        <v>1026</v>
      </c>
      <c r="G535" s="486">
        <v>405756.72</v>
      </c>
      <c r="H535" s="212">
        <v>42612</v>
      </c>
      <c r="I535" s="212">
        <v>42704</v>
      </c>
      <c r="J535" s="275">
        <v>248468.95</v>
      </c>
      <c r="K535" s="275">
        <v>248468.95</v>
      </c>
      <c r="L535" s="212">
        <v>42732</v>
      </c>
      <c r="M535" s="275"/>
      <c r="N535" s="213">
        <v>1</v>
      </c>
      <c r="O535" s="301"/>
      <c r="P535" s="176"/>
      <c r="Q535" s="530" t="s">
        <v>1128</v>
      </c>
      <c r="R535" s="132"/>
    </row>
    <row r="536" spans="1:22" ht="33" outlineLevel="1" x14ac:dyDescent="0.25">
      <c r="A536" s="1028"/>
      <c r="B536" s="1026"/>
      <c r="C536" s="253" t="s">
        <v>36</v>
      </c>
      <c r="D536" s="163">
        <v>288025.84000000003</v>
      </c>
      <c r="E536" s="163" t="s">
        <v>1027</v>
      </c>
      <c r="F536" s="253" t="s">
        <v>1026</v>
      </c>
      <c r="G536" s="354">
        <v>288025.84000000003</v>
      </c>
      <c r="H536" s="210">
        <v>42612</v>
      </c>
      <c r="I536" s="210">
        <v>42704</v>
      </c>
      <c r="J536" s="163">
        <v>263064.45</v>
      </c>
      <c r="K536" s="163">
        <v>263064.45</v>
      </c>
      <c r="L536" s="210">
        <v>42732</v>
      </c>
      <c r="M536" s="163"/>
      <c r="N536" s="213">
        <v>1</v>
      </c>
      <c r="O536" s="301"/>
      <c r="P536" s="176"/>
      <c r="Q536" s="530" t="s">
        <v>1128</v>
      </c>
      <c r="R536" s="132"/>
    </row>
    <row r="537" spans="1:22" s="75" customFormat="1" ht="33" outlineLevel="1" x14ac:dyDescent="0.25">
      <c r="A537" s="1028"/>
      <c r="B537" s="1026"/>
      <c r="C537" s="253" t="s">
        <v>500</v>
      </c>
      <c r="D537" s="163">
        <v>2146362.39</v>
      </c>
      <c r="E537" s="163" t="s">
        <v>1027</v>
      </c>
      <c r="F537" s="253" t="s">
        <v>1026</v>
      </c>
      <c r="G537" s="354">
        <v>2146362.39</v>
      </c>
      <c r="H537" s="210">
        <v>42673</v>
      </c>
      <c r="I537" s="210">
        <v>42714</v>
      </c>
      <c r="J537" s="163">
        <v>2314310.48</v>
      </c>
      <c r="K537" s="163">
        <v>2314310.48</v>
      </c>
      <c r="L537" s="210">
        <v>42732</v>
      </c>
      <c r="M537" s="163"/>
      <c r="N537" s="213">
        <v>1</v>
      </c>
      <c r="O537" s="531"/>
      <c r="P537" s="457"/>
      <c r="Q537" s="163"/>
      <c r="R537" s="383"/>
      <c r="S537" s="67"/>
      <c r="T537" s="67"/>
      <c r="U537" s="67"/>
      <c r="V537" s="67"/>
    </row>
    <row r="538" spans="1:22" ht="33" outlineLevel="1" x14ac:dyDescent="0.25">
      <c r="A538" s="1028"/>
      <c r="B538" s="1026"/>
      <c r="C538" s="337" t="s">
        <v>501</v>
      </c>
      <c r="D538" s="303">
        <v>5587196.1600000001</v>
      </c>
      <c r="E538" s="173" t="s">
        <v>1284</v>
      </c>
      <c r="F538" s="432" t="s">
        <v>661</v>
      </c>
      <c r="G538" s="459">
        <v>5587196.1600000001</v>
      </c>
      <c r="H538" s="171">
        <v>42917</v>
      </c>
      <c r="I538" s="172"/>
      <c r="J538" s="173"/>
      <c r="K538" s="173"/>
      <c r="L538" s="171"/>
      <c r="M538" s="173"/>
      <c r="N538" s="460">
        <v>0</v>
      </c>
      <c r="O538" s="301"/>
      <c r="P538" s="176">
        <v>2017</v>
      </c>
      <c r="Q538" s="177"/>
      <c r="R538" s="132"/>
    </row>
    <row r="539" spans="1:22" ht="33" outlineLevel="1" x14ac:dyDescent="0.25">
      <c r="A539" s="1028"/>
      <c r="B539" s="1026"/>
      <c r="C539" s="337" t="s">
        <v>1095</v>
      </c>
      <c r="D539" s="303">
        <v>60780</v>
      </c>
      <c r="E539" s="173"/>
      <c r="F539" s="432"/>
      <c r="G539" s="459"/>
      <c r="H539" s="171"/>
      <c r="I539" s="172"/>
      <c r="J539" s="173"/>
      <c r="K539" s="173"/>
      <c r="L539" s="171"/>
      <c r="M539" s="173"/>
      <c r="N539" s="460"/>
      <c r="O539" s="301"/>
      <c r="P539" s="176"/>
      <c r="Q539" s="177"/>
      <c r="R539" s="132"/>
    </row>
    <row r="540" spans="1:22" ht="49.5" outlineLevel="1" x14ac:dyDescent="0.25">
      <c r="A540" s="1028"/>
      <c r="B540" s="1026"/>
      <c r="C540" s="356" t="s">
        <v>37</v>
      </c>
      <c r="D540" s="357">
        <v>178651.19</v>
      </c>
      <c r="E540" s="361" t="s">
        <v>550</v>
      </c>
      <c r="F540" s="358" t="s">
        <v>541</v>
      </c>
      <c r="G540" s="359">
        <v>211488.03</v>
      </c>
      <c r="H540" s="360">
        <v>42460</v>
      </c>
      <c r="I540" s="360">
        <v>42475</v>
      </c>
      <c r="J540" s="361">
        <v>178651.19</v>
      </c>
      <c r="K540" s="361">
        <v>178651.19</v>
      </c>
      <c r="L540" s="360"/>
      <c r="M540" s="361"/>
      <c r="N540" s="362"/>
      <c r="O540" s="466" t="s">
        <v>702</v>
      </c>
      <c r="P540" s="176"/>
      <c r="Q540" s="177"/>
      <c r="R540" s="132"/>
    </row>
    <row r="541" spans="1:22" ht="17.25" outlineLevel="1" thickBot="1" x14ac:dyDescent="0.3">
      <c r="A541" s="1006" t="s">
        <v>628</v>
      </c>
      <c r="B541" s="1007"/>
      <c r="C541" s="364"/>
      <c r="D541" s="365">
        <f>SUM(D535:D540)</f>
        <v>8666772.2999999989</v>
      </c>
      <c r="E541" s="239"/>
      <c r="F541" s="239"/>
      <c r="G541" s="366">
        <f>SUM(G535:G540)</f>
        <v>8638829.1399999987</v>
      </c>
      <c r="H541" s="239"/>
      <c r="I541" s="321"/>
      <c r="J541" s="191">
        <f>SUM(J535:J540)</f>
        <v>3004495.07</v>
      </c>
      <c r="K541" s="365">
        <f>SUM(K535:K540)</f>
        <v>3004495.07</v>
      </c>
      <c r="L541" s="367"/>
      <c r="M541" s="365"/>
      <c r="N541" s="368">
        <f>AVERAGE(N535:N540)</f>
        <v>0.75</v>
      </c>
      <c r="O541" s="369"/>
      <c r="P541" s="176"/>
      <c r="Q541" s="177"/>
      <c r="R541" s="132"/>
    </row>
    <row r="542" spans="1:22" ht="33" outlineLevel="1" x14ac:dyDescent="0.25">
      <c r="A542" s="1028"/>
      <c r="B542" s="1026" t="s">
        <v>149</v>
      </c>
      <c r="C542" s="253" t="s">
        <v>35</v>
      </c>
      <c r="D542" s="163">
        <v>315890.28999999998</v>
      </c>
      <c r="E542" s="163" t="s">
        <v>1027</v>
      </c>
      <c r="F542" s="253" t="s">
        <v>1026</v>
      </c>
      <c r="G542" s="354">
        <v>315890.28999999998</v>
      </c>
      <c r="H542" s="210">
        <v>42612</v>
      </c>
      <c r="I542" s="210">
        <v>42704</v>
      </c>
      <c r="J542" s="163">
        <v>232346.46</v>
      </c>
      <c r="K542" s="163">
        <v>232346.46</v>
      </c>
      <c r="L542" s="210">
        <v>42732</v>
      </c>
      <c r="M542" s="163"/>
      <c r="N542" s="213">
        <v>1</v>
      </c>
      <c r="O542" s="301"/>
      <c r="P542" s="176"/>
      <c r="Q542" s="530" t="s">
        <v>1128</v>
      </c>
      <c r="R542" s="132"/>
    </row>
    <row r="543" spans="1:22" ht="33" outlineLevel="1" x14ac:dyDescent="0.25">
      <c r="A543" s="1028"/>
      <c r="B543" s="1026"/>
      <c r="C543" s="253" t="s">
        <v>36</v>
      </c>
      <c r="D543" s="163">
        <v>261624.71</v>
      </c>
      <c r="E543" s="163" t="s">
        <v>1027</v>
      </c>
      <c r="F543" s="253" t="s">
        <v>1026</v>
      </c>
      <c r="G543" s="354">
        <v>261624.71</v>
      </c>
      <c r="H543" s="210">
        <v>42612</v>
      </c>
      <c r="I543" s="210">
        <v>42704</v>
      </c>
      <c r="J543" s="163">
        <v>253060.56</v>
      </c>
      <c r="K543" s="163">
        <v>253060.56</v>
      </c>
      <c r="L543" s="210">
        <v>42732</v>
      </c>
      <c r="M543" s="163"/>
      <c r="N543" s="213">
        <v>1</v>
      </c>
      <c r="O543" s="301"/>
      <c r="P543" s="176"/>
      <c r="Q543" s="530" t="s">
        <v>1128</v>
      </c>
      <c r="R543" s="132"/>
    </row>
    <row r="544" spans="1:22" s="75" customFormat="1" ht="33" outlineLevel="1" x14ac:dyDescent="0.25">
      <c r="A544" s="1028"/>
      <c r="B544" s="1026"/>
      <c r="C544" s="253" t="s">
        <v>500</v>
      </c>
      <c r="D544" s="163">
        <v>1587277.48</v>
      </c>
      <c r="E544" s="163" t="s">
        <v>1027</v>
      </c>
      <c r="F544" s="253" t="s">
        <v>1026</v>
      </c>
      <c r="G544" s="354">
        <v>1587277.48</v>
      </c>
      <c r="H544" s="210">
        <v>42673</v>
      </c>
      <c r="I544" s="210">
        <v>42714</v>
      </c>
      <c r="J544" s="163">
        <v>1710409.72</v>
      </c>
      <c r="K544" s="163">
        <v>1710409.72</v>
      </c>
      <c r="L544" s="210">
        <v>42732</v>
      </c>
      <c r="M544" s="163"/>
      <c r="N544" s="213">
        <v>1</v>
      </c>
      <c r="O544" s="531"/>
      <c r="P544" s="457"/>
      <c r="Q544" s="163"/>
      <c r="R544" s="383"/>
      <c r="S544" s="67"/>
      <c r="T544" s="67"/>
      <c r="U544" s="67"/>
      <c r="V544" s="67"/>
    </row>
    <row r="545" spans="1:22" ht="33" outlineLevel="1" x14ac:dyDescent="0.25">
      <c r="A545" s="1028"/>
      <c r="B545" s="1026"/>
      <c r="C545" s="337" t="s">
        <v>501</v>
      </c>
      <c r="D545" s="303">
        <v>5443614.9400000004</v>
      </c>
      <c r="E545" s="173" t="s">
        <v>1284</v>
      </c>
      <c r="F545" s="432" t="s">
        <v>661</v>
      </c>
      <c r="G545" s="459">
        <v>5443614.9400000004</v>
      </c>
      <c r="H545" s="171">
        <v>42917</v>
      </c>
      <c r="I545" s="172"/>
      <c r="J545" s="173"/>
      <c r="K545" s="173"/>
      <c r="L545" s="171"/>
      <c r="M545" s="173"/>
      <c r="N545" s="460">
        <v>0</v>
      </c>
      <c r="O545" s="301"/>
      <c r="P545" s="176">
        <v>2017</v>
      </c>
      <c r="Q545" s="177"/>
      <c r="R545" s="132"/>
    </row>
    <row r="546" spans="1:22" ht="33" outlineLevel="1" x14ac:dyDescent="0.25">
      <c r="A546" s="1028"/>
      <c r="B546" s="1026"/>
      <c r="C546" s="337" t="s">
        <v>1095</v>
      </c>
      <c r="D546" s="303">
        <v>46330</v>
      </c>
      <c r="E546" s="173"/>
      <c r="F546" s="432"/>
      <c r="G546" s="459"/>
      <c r="H546" s="171"/>
      <c r="I546" s="172"/>
      <c r="J546" s="173"/>
      <c r="K546" s="173"/>
      <c r="L546" s="171"/>
      <c r="M546" s="173"/>
      <c r="N546" s="460"/>
      <c r="O546" s="301"/>
      <c r="P546" s="176"/>
      <c r="Q546" s="177"/>
      <c r="R546" s="132"/>
    </row>
    <row r="547" spans="1:22" ht="49.5" outlineLevel="1" x14ac:dyDescent="0.25">
      <c r="A547" s="1028"/>
      <c r="B547" s="1026"/>
      <c r="C547" s="356" t="s">
        <v>37</v>
      </c>
      <c r="D547" s="357">
        <v>170531.82</v>
      </c>
      <c r="E547" s="361" t="s">
        <v>550</v>
      </c>
      <c r="F547" s="358" t="s">
        <v>541</v>
      </c>
      <c r="G547" s="359">
        <v>201863.11</v>
      </c>
      <c r="H547" s="360">
        <v>42460</v>
      </c>
      <c r="I547" s="360">
        <v>42475</v>
      </c>
      <c r="J547" s="361">
        <v>170531.82</v>
      </c>
      <c r="K547" s="361">
        <v>170531.82</v>
      </c>
      <c r="L547" s="360"/>
      <c r="M547" s="361"/>
      <c r="N547" s="362"/>
      <c r="O547" s="466" t="s">
        <v>702</v>
      </c>
      <c r="P547" s="176"/>
      <c r="Q547" s="177"/>
      <c r="R547" s="132"/>
    </row>
    <row r="548" spans="1:22" ht="17.25" outlineLevel="1" thickBot="1" x14ac:dyDescent="0.3">
      <c r="A548" s="1010" t="s">
        <v>628</v>
      </c>
      <c r="B548" s="1011"/>
      <c r="C548" s="377"/>
      <c r="D548" s="365">
        <f>SUM(D542:D547)</f>
        <v>7825269.2400000002</v>
      </c>
      <c r="E548" s="247"/>
      <c r="F548" s="247"/>
      <c r="G548" s="366">
        <f>SUM(G542:G547)</f>
        <v>7810270.5300000003</v>
      </c>
      <c r="H548" s="247"/>
      <c r="I548" s="277"/>
      <c r="J548" s="542">
        <f>SUM(J542:J547)</f>
        <v>2366348.56</v>
      </c>
      <c r="K548" s="365">
        <f>SUM(K542:K547)</f>
        <v>2366348.56</v>
      </c>
      <c r="L548" s="380"/>
      <c r="M548" s="378"/>
      <c r="N548" s="368">
        <f>AVERAGE(N542:N547)</f>
        <v>0.75</v>
      </c>
      <c r="O548" s="381"/>
      <c r="P548" s="176"/>
      <c r="Q548" s="177"/>
      <c r="R548" s="132"/>
    </row>
    <row r="549" spans="1:22" ht="33" outlineLevel="1" x14ac:dyDescent="0.25">
      <c r="A549" s="1028"/>
      <c r="B549" s="1026" t="s">
        <v>150</v>
      </c>
      <c r="C549" s="253" t="s">
        <v>35</v>
      </c>
      <c r="D549" s="163">
        <v>315890.28999999998</v>
      </c>
      <c r="E549" s="163" t="s">
        <v>1027</v>
      </c>
      <c r="F549" s="253" t="s">
        <v>1026</v>
      </c>
      <c r="G549" s="354">
        <v>315890.28999999998</v>
      </c>
      <c r="H549" s="210">
        <v>42612</v>
      </c>
      <c r="I549" s="210">
        <v>42704</v>
      </c>
      <c r="J549" s="163">
        <v>312078.11</v>
      </c>
      <c r="K549" s="163">
        <v>312078.11</v>
      </c>
      <c r="L549" s="210">
        <v>42732</v>
      </c>
      <c r="M549" s="163"/>
      <c r="N549" s="213">
        <v>1</v>
      </c>
      <c r="O549" s="301"/>
      <c r="P549" s="176"/>
      <c r="Q549" s="530" t="s">
        <v>1128</v>
      </c>
      <c r="R549" s="132"/>
    </row>
    <row r="550" spans="1:22" ht="33" outlineLevel="1" x14ac:dyDescent="0.25">
      <c r="A550" s="1028"/>
      <c r="B550" s="1026"/>
      <c r="C550" s="253" t="s">
        <v>36</v>
      </c>
      <c r="D550" s="163">
        <v>261624.71</v>
      </c>
      <c r="E550" s="163" t="s">
        <v>1027</v>
      </c>
      <c r="F550" s="253" t="s">
        <v>1026</v>
      </c>
      <c r="G550" s="354">
        <v>261624.71</v>
      </c>
      <c r="H550" s="210">
        <v>42612</v>
      </c>
      <c r="I550" s="210">
        <v>42704</v>
      </c>
      <c r="J550" s="163">
        <v>234720.08</v>
      </c>
      <c r="K550" s="163">
        <v>234720.08</v>
      </c>
      <c r="L550" s="210">
        <v>42732</v>
      </c>
      <c r="M550" s="163"/>
      <c r="N550" s="213">
        <v>1</v>
      </c>
      <c r="O550" s="301"/>
      <c r="P550" s="176"/>
      <c r="Q550" s="530" t="s">
        <v>1128</v>
      </c>
      <c r="R550" s="132"/>
    </row>
    <row r="551" spans="1:22" s="75" customFormat="1" ht="33" outlineLevel="1" x14ac:dyDescent="0.25">
      <c r="A551" s="1028"/>
      <c r="B551" s="1026"/>
      <c r="C551" s="253" t="s">
        <v>500</v>
      </c>
      <c r="D551" s="163">
        <v>1587277.48</v>
      </c>
      <c r="E551" s="163" t="s">
        <v>1027</v>
      </c>
      <c r="F551" s="253" t="s">
        <v>1026</v>
      </c>
      <c r="G551" s="354">
        <v>1587277.48</v>
      </c>
      <c r="H551" s="210">
        <v>42673</v>
      </c>
      <c r="I551" s="210">
        <v>42714</v>
      </c>
      <c r="J551" s="163">
        <v>1711365.29</v>
      </c>
      <c r="K551" s="163">
        <v>1711365.29</v>
      </c>
      <c r="L551" s="210">
        <v>42732</v>
      </c>
      <c r="M551" s="163"/>
      <c r="N551" s="213">
        <v>1</v>
      </c>
      <c r="O551" s="531"/>
      <c r="P551" s="457"/>
      <c r="Q551" s="536" t="s">
        <v>1128</v>
      </c>
      <c r="R551" s="383"/>
      <c r="S551" s="67"/>
      <c r="T551" s="67"/>
      <c r="U551" s="67"/>
      <c r="V551" s="67"/>
    </row>
    <row r="552" spans="1:22" ht="33" outlineLevel="1" x14ac:dyDescent="0.25">
      <c r="A552" s="1028"/>
      <c r="B552" s="1026"/>
      <c r="C552" s="337" t="s">
        <v>501</v>
      </c>
      <c r="D552" s="303">
        <v>5443614.9400000004</v>
      </c>
      <c r="E552" s="173" t="s">
        <v>1284</v>
      </c>
      <c r="F552" s="432" t="s">
        <v>661</v>
      </c>
      <c r="G552" s="459">
        <v>5443614.9400000004</v>
      </c>
      <c r="H552" s="171">
        <v>42917</v>
      </c>
      <c r="I552" s="172"/>
      <c r="J552" s="173"/>
      <c r="K552" s="173"/>
      <c r="L552" s="171"/>
      <c r="M552" s="173"/>
      <c r="N552" s="460">
        <v>0</v>
      </c>
      <c r="O552" s="301"/>
      <c r="P552" s="176">
        <v>2017</v>
      </c>
      <c r="Q552" s="177"/>
      <c r="R552" s="132"/>
    </row>
    <row r="553" spans="1:22" ht="33" outlineLevel="1" x14ac:dyDescent="0.25">
      <c r="A553" s="1028"/>
      <c r="B553" s="1026"/>
      <c r="C553" s="337" t="s">
        <v>1095</v>
      </c>
      <c r="D553" s="303">
        <v>46330</v>
      </c>
      <c r="E553" s="173"/>
      <c r="F553" s="432"/>
      <c r="G553" s="459"/>
      <c r="H553" s="171"/>
      <c r="I553" s="172"/>
      <c r="J553" s="173"/>
      <c r="K553" s="173"/>
      <c r="L553" s="171"/>
      <c r="M553" s="173"/>
      <c r="N553" s="460"/>
      <c r="O553" s="301"/>
      <c r="P553" s="176"/>
      <c r="Q553" s="177"/>
      <c r="R553" s="132"/>
    </row>
    <row r="554" spans="1:22" ht="49.5" outlineLevel="1" x14ac:dyDescent="0.25">
      <c r="A554" s="1028"/>
      <c r="B554" s="1026"/>
      <c r="C554" s="356" t="s">
        <v>37</v>
      </c>
      <c r="D554" s="357">
        <v>160588.37</v>
      </c>
      <c r="E554" s="361" t="s">
        <v>550</v>
      </c>
      <c r="F554" s="358" t="s">
        <v>541</v>
      </c>
      <c r="G554" s="359">
        <v>190079.67</v>
      </c>
      <c r="H554" s="360">
        <v>42460</v>
      </c>
      <c r="I554" s="360">
        <v>42475</v>
      </c>
      <c r="J554" s="361">
        <v>160588.37</v>
      </c>
      <c r="K554" s="361">
        <v>160588.37</v>
      </c>
      <c r="L554" s="360"/>
      <c r="M554" s="361"/>
      <c r="N554" s="362"/>
      <c r="O554" s="466" t="s">
        <v>702</v>
      </c>
      <c r="P554" s="176"/>
      <c r="Q554" s="177"/>
      <c r="R554" s="132"/>
    </row>
    <row r="555" spans="1:22" ht="17.25" outlineLevel="1" thickBot="1" x14ac:dyDescent="0.3">
      <c r="A555" s="1006" t="s">
        <v>628</v>
      </c>
      <c r="B555" s="1007"/>
      <c r="C555" s="364"/>
      <c r="D555" s="365">
        <f>SUM(D549:D554)</f>
        <v>7815325.79</v>
      </c>
      <c r="E555" s="239"/>
      <c r="F555" s="239"/>
      <c r="G555" s="366">
        <f>SUM(G549:G554)</f>
        <v>7798487.0899999999</v>
      </c>
      <c r="H555" s="239"/>
      <c r="I555" s="321"/>
      <c r="J555" s="191">
        <f>SUM(J549:J554)</f>
        <v>2418751.85</v>
      </c>
      <c r="K555" s="365">
        <f>SUM(K549:K554)</f>
        <v>2418751.85</v>
      </c>
      <c r="L555" s="367"/>
      <c r="M555" s="365"/>
      <c r="N555" s="368">
        <f>AVERAGE(N549:N554)</f>
        <v>0.75</v>
      </c>
      <c r="O555" s="369"/>
      <c r="P555" s="176"/>
      <c r="Q555" s="177"/>
      <c r="R555" s="132"/>
    </row>
    <row r="556" spans="1:22" ht="33" outlineLevel="1" x14ac:dyDescent="0.25">
      <c r="A556" s="1028"/>
      <c r="B556" s="1026" t="s">
        <v>151</v>
      </c>
      <c r="C556" s="253" t="s">
        <v>35</v>
      </c>
      <c r="D556" s="163">
        <v>315890.28999999998</v>
      </c>
      <c r="E556" s="163" t="s">
        <v>1027</v>
      </c>
      <c r="F556" s="253" t="s">
        <v>1026</v>
      </c>
      <c r="G556" s="354">
        <v>315890.28999999998</v>
      </c>
      <c r="H556" s="210">
        <v>42612</v>
      </c>
      <c r="I556" s="210">
        <v>42704</v>
      </c>
      <c r="J556" s="163">
        <v>221940.48000000001</v>
      </c>
      <c r="K556" s="163">
        <v>221940.48000000001</v>
      </c>
      <c r="L556" s="210">
        <v>42732</v>
      </c>
      <c r="M556" s="163"/>
      <c r="N556" s="213">
        <v>1</v>
      </c>
      <c r="O556" s="301"/>
      <c r="P556" s="176"/>
      <c r="Q556" s="530" t="s">
        <v>1128</v>
      </c>
      <c r="R556" s="132"/>
    </row>
    <row r="557" spans="1:22" ht="33" outlineLevel="1" x14ac:dyDescent="0.25">
      <c r="A557" s="1028"/>
      <c r="B557" s="1026"/>
      <c r="C557" s="253" t="s">
        <v>36</v>
      </c>
      <c r="D557" s="163">
        <v>261624.71</v>
      </c>
      <c r="E557" s="163" t="s">
        <v>1027</v>
      </c>
      <c r="F557" s="253" t="s">
        <v>1026</v>
      </c>
      <c r="G557" s="354">
        <v>261624.71</v>
      </c>
      <c r="H557" s="210">
        <v>42612</v>
      </c>
      <c r="I557" s="210">
        <v>42704</v>
      </c>
      <c r="J557" s="163">
        <v>216338.34</v>
      </c>
      <c r="K557" s="163">
        <v>216338.34</v>
      </c>
      <c r="L557" s="210">
        <v>42732</v>
      </c>
      <c r="M557" s="163"/>
      <c r="N557" s="213">
        <v>1</v>
      </c>
      <c r="O557" s="301"/>
      <c r="P557" s="176"/>
      <c r="Q557" s="530" t="s">
        <v>1128</v>
      </c>
      <c r="R557" s="132"/>
    </row>
    <row r="558" spans="1:22" s="75" customFormat="1" ht="33" outlineLevel="1" x14ac:dyDescent="0.25">
      <c r="A558" s="1028"/>
      <c r="B558" s="1026"/>
      <c r="C558" s="253" t="s">
        <v>500</v>
      </c>
      <c r="D558" s="163">
        <v>1587277.48</v>
      </c>
      <c r="E558" s="163" t="s">
        <v>1027</v>
      </c>
      <c r="F558" s="253" t="s">
        <v>1026</v>
      </c>
      <c r="G558" s="354">
        <v>1587277.48</v>
      </c>
      <c r="H558" s="210">
        <v>42673</v>
      </c>
      <c r="I558" s="210">
        <v>42714</v>
      </c>
      <c r="J558" s="163">
        <v>1711365.29</v>
      </c>
      <c r="K558" s="163">
        <v>1711365.29</v>
      </c>
      <c r="L558" s="210">
        <v>42732</v>
      </c>
      <c r="M558" s="163"/>
      <c r="N558" s="213">
        <v>1</v>
      </c>
      <c r="O558" s="531"/>
      <c r="P558" s="457"/>
      <c r="Q558" s="536" t="s">
        <v>1128</v>
      </c>
      <c r="R558" s="383"/>
      <c r="S558" s="67"/>
      <c r="T558" s="67"/>
      <c r="U558" s="67"/>
      <c r="V558" s="67"/>
    </row>
    <row r="559" spans="1:22" ht="33" outlineLevel="1" x14ac:dyDescent="0.25">
      <c r="A559" s="1028"/>
      <c r="B559" s="1026"/>
      <c r="C559" s="337" t="s">
        <v>501</v>
      </c>
      <c r="D559" s="303">
        <v>5443614.9400000004</v>
      </c>
      <c r="E559" s="173" t="s">
        <v>1284</v>
      </c>
      <c r="F559" s="432" t="s">
        <v>661</v>
      </c>
      <c r="G559" s="459">
        <v>5443614.9400000004</v>
      </c>
      <c r="H559" s="171">
        <v>42917</v>
      </c>
      <c r="I559" s="172"/>
      <c r="J559" s="173"/>
      <c r="K559" s="173"/>
      <c r="L559" s="171"/>
      <c r="M559" s="173"/>
      <c r="N559" s="460">
        <v>0</v>
      </c>
      <c r="O559" s="301"/>
      <c r="P559" s="176">
        <v>2017</v>
      </c>
      <c r="Q559" s="177"/>
      <c r="R559" s="132"/>
    </row>
    <row r="560" spans="1:22" ht="33" outlineLevel="1" x14ac:dyDescent="0.25">
      <c r="A560" s="1028"/>
      <c r="B560" s="1026"/>
      <c r="C560" s="337" t="s">
        <v>1095</v>
      </c>
      <c r="D560" s="303">
        <v>46330</v>
      </c>
      <c r="E560" s="173"/>
      <c r="F560" s="432"/>
      <c r="G560" s="459"/>
      <c r="H560" s="171"/>
      <c r="I560" s="172"/>
      <c r="J560" s="173"/>
      <c r="K560" s="173"/>
      <c r="L560" s="171"/>
      <c r="M560" s="173"/>
      <c r="N560" s="460"/>
      <c r="O560" s="301"/>
      <c r="P560" s="176"/>
      <c r="Q560" s="177"/>
      <c r="R560" s="132"/>
    </row>
    <row r="561" spans="1:22" ht="49.5" outlineLevel="1" x14ac:dyDescent="0.25">
      <c r="A561" s="1028"/>
      <c r="B561" s="1026"/>
      <c r="C561" s="356" t="s">
        <v>37</v>
      </c>
      <c r="D561" s="357">
        <v>160299.19</v>
      </c>
      <c r="E561" s="361" t="s">
        <v>550</v>
      </c>
      <c r="F561" s="358" t="s">
        <v>541</v>
      </c>
      <c r="G561" s="359">
        <v>189737.3</v>
      </c>
      <c r="H561" s="360">
        <v>42460</v>
      </c>
      <c r="I561" s="360">
        <v>42475</v>
      </c>
      <c r="J561" s="361">
        <v>160299.19</v>
      </c>
      <c r="K561" s="361">
        <v>160299.19</v>
      </c>
      <c r="L561" s="360"/>
      <c r="M561" s="361"/>
      <c r="N561" s="362"/>
      <c r="O561" s="466" t="s">
        <v>702</v>
      </c>
      <c r="P561" s="176"/>
      <c r="Q561" s="177"/>
      <c r="R561" s="132"/>
    </row>
    <row r="562" spans="1:22" ht="17.25" outlineLevel="1" thickBot="1" x14ac:dyDescent="0.3">
      <c r="A562" s="1006" t="s">
        <v>628</v>
      </c>
      <c r="B562" s="1007"/>
      <c r="C562" s="364"/>
      <c r="D562" s="365">
        <f>SUM(D556:D561)</f>
        <v>7815036.6100000003</v>
      </c>
      <c r="E562" s="239"/>
      <c r="F562" s="239"/>
      <c r="G562" s="366">
        <f>SUM(G556:G561)</f>
        <v>7798144.7199999997</v>
      </c>
      <c r="H562" s="239"/>
      <c r="I562" s="321"/>
      <c r="J562" s="191">
        <f>SUM(J556:J561)</f>
        <v>2309943.2999999998</v>
      </c>
      <c r="K562" s="365">
        <f>SUM(K556:K561)</f>
        <v>2309943.2999999998</v>
      </c>
      <c r="L562" s="367"/>
      <c r="M562" s="365"/>
      <c r="N562" s="368">
        <f>AVERAGE(N556:N561)</f>
        <v>0.75</v>
      </c>
      <c r="O562" s="369"/>
      <c r="P562" s="176"/>
      <c r="Q562" s="177"/>
      <c r="R562" s="132"/>
    </row>
    <row r="563" spans="1:22" s="5" customFormat="1" ht="33" x14ac:dyDescent="0.25">
      <c r="A563" s="1027">
        <v>7</v>
      </c>
      <c r="B563" s="1025" t="s">
        <v>509</v>
      </c>
      <c r="C563" s="197" t="s">
        <v>35</v>
      </c>
      <c r="D563" s="162">
        <v>708012.53</v>
      </c>
      <c r="E563" s="197" t="s">
        <v>1027</v>
      </c>
      <c r="F563" s="197" t="s">
        <v>1026</v>
      </c>
      <c r="G563" s="353">
        <v>708012.53</v>
      </c>
      <c r="H563" s="161">
        <v>42612</v>
      </c>
      <c r="I563" s="210">
        <v>42704</v>
      </c>
      <c r="J563" s="162">
        <v>482758.65</v>
      </c>
      <c r="K563" s="162">
        <v>482758.65</v>
      </c>
      <c r="L563" s="161">
        <v>42732</v>
      </c>
      <c r="M563" s="199"/>
      <c r="N563" s="200">
        <v>1</v>
      </c>
      <c r="O563" s="370"/>
      <c r="P563" s="176"/>
      <c r="Q563" s="201" t="s">
        <v>1114</v>
      </c>
      <c r="R563" s="168"/>
      <c r="S563" s="19"/>
      <c r="T563" s="19"/>
      <c r="U563" s="19"/>
      <c r="V563" s="19"/>
    </row>
    <row r="564" spans="1:22" s="78" customFormat="1" ht="33" x14ac:dyDescent="0.25">
      <c r="A564" s="1062"/>
      <c r="B564" s="1061"/>
      <c r="C564" s="337" t="s">
        <v>1095</v>
      </c>
      <c r="D564" s="401">
        <v>15150</v>
      </c>
      <c r="E564" s="373"/>
      <c r="F564" s="373"/>
      <c r="G564" s="374"/>
      <c r="H564" s="179"/>
      <c r="I564" s="543"/>
      <c r="J564" s="544"/>
      <c r="K564" s="544"/>
      <c r="L564" s="545"/>
      <c r="M564" s="544"/>
      <c r="N564" s="404"/>
      <c r="O564" s="546"/>
      <c r="P564" s="176"/>
      <c r="Q564" s="177"/>
      <c r="R564" s="168"/>
      <c r="S564" s="19"/>
      <c r="T564" s="19"/>
      <c r="U564" s="19"/>
      <c r="V564" s="19"/>
    </row>
    <row r="565" spans="1:22" ht="49.5" outlineLevel="1" x14ac:dyDescent="0.25">
      <c r="A565" s="1028"/>
      <c r="B565" s="1026"/>
      <c r="C565" s="356" t="s">
        <v>37</v>
      </c>
      <c r="D565" s="357">
        <v>56123.19</v>
      </c>
      <c r="E565" s="361" t="s">
        <v>550</v>
      </c>
      <c r="F565" s="358" t="s">
        <v>541</v>
      </c>
      <c r="G565" s="359">
        <v>56177.22</v>
      </c>
      <c r="H565" s="360">
        <v>42460</v>
      </c>
      <c r="I565" s="360">
        <v>42475</v>
      </c>
      <c r="J565" s="361">
        <v>56123.19</v>
      </c>
      <c r="K565" s="361">
        <v>56123.19</v>
      </c>
      <c r="L565" s="360"/>
      <c r="M565" s="361"/>
      <c r="N565" s="362"/>
      <c r="O565" s="466" t="s">
        <v>702</v>
      </c>
      <c r="P565" s="176"/>
      <c r="Q565" s="177"/>
      <c r="R565" s="132"/>
    </row>
    <row r="566" spans="1:22" ht="17.25" outlineLevel="1" thickBot="1" x14ac:dyDescent="0.3">
      <c r="A566" s="1006" t="s">
        <v>628</v>
      </c>
      <c r="B566" s="1007"/>
      <c r="C566" s="364"/>
      <c r="D566" s="365">
        <f>SUM(D563:D565)</f>
        <v>779285.72</v>
      </c>
      <c r="E566" s="239"/>
      <c r="F566" s="239"/>
      <c r="G566" s="366">
        <f>SUM(G563:G565)</f>
        <v>764189.75</v>
      </c>
      <c r="H566" s="239"/>
      <c r="I566" s="321"/>
      <c r="J566" s="191">
        <f>SUM(J563:J565)</f>
        <v>538881.84000000008</v>
      </c>
      <c r="K566" s="365">
        <f>SUM(K563:K565)</f>
        <v>538881.84000000008</v>
      </c>
      <c r="L566" s="367"/>
      <c r="M566" s="365"/>
      <c r="N566" s="368">
        <f>AVERAGE(N563:N565)</f>
        <v>1</v>
      </c>
      <c r="O566" s="369"/>
      <c r="P566" s="176"/>
      <c r="Q566" s="177"/>
      <c r="R566" s="132"/>
    </row>
    <row r="567" spans="1:22" s="69" customFormat="1" ht="33" x14ac:dyDescent="0.25">
      <c r="A567" s="1027">
        <v>8</v>
      </c>
      <c r="B567" s="1025" t="s">
        <v>510</v>
      </c>
      <c r="C567" s="197" t="s">
        <v>500</v>
      </c>
      <c r="D567" s="162">
        <v>4291263.8499999996</v>
      </c>
      <c r="E567" s="197" t="s">
        <v>1027</v>
      </c>
      <c r="F567" s="197" t="s">
        <v>1026</v>
      </c>
      <c r="G567" s="353">
        <v>4291263.8499999996</v>
      </c>
      <c r="H567" s="210">
        <v>42673</v>
      </c>
      <c r="I567" s="161">
        <v>42714</v>
      </c>
      <c r="J567" s="162">
        <v>4454329.99</v>
      </c>
      <c r="K567" s="162">
        <v>4454329.99</v>
      </c>
      <c r="L567" s="161">
        <v>42732</v>
      </c>
      <c r="M567" s="199"/>
      <c r="N567" s="200">
        <v>0.7</v>
      </c>
      <c r="O567" s="382"/>
      <c r="P567" s="457"/>
      <c r="Q567" s="547"/>
      <c r="R567" s="236"/>
      <c r="S567" s="68"/>
      <c r="T567" s="68"/>
      <c r="U567" s="68"/>
      <c r="V567" s="68"/>
    </row>
    <row r="568" spans="1:22" s="78" customFormat="1" ht="33" x14ac:dyDescent="0.25">
      <c r="A568" s="1062"/>
      <c r="B568" s="1061"/>
      <c r="C568" s="337" t="s">
        <v>1095</v>
      </c>
      <c r="D568" s="401">
        <v>91830</v>
      </c>
      <c r="E568" s="373"/>
      <c r="F568" s="373"/>
      <c r="G568" s="374"/>
      <c r="H568" s="171"/>
      <c r="I568" s="543"/>
      <c r="J568" s="544"/>
      <c r="K568" s="544"/>
      <c r="L568" s="545"/>
      <c r="M568" s="544"/>
      <c r="N568" s="404"/>
      <c r="O568" s="546"/>
      <c r="P568" s="176"/>
      <c r="Q568" s="177"/>
      <c r="R568" s="168"/>
      <c r="S568" s="19"/>
      <c r="T568" s="19"/>
      <c r="U568" s="19"/>
      <c r="V568" s="19"/>
    </row>
    <row r="569" spans="1:22" ht="49.5" outlineLevel="1" x14ac:dyDescent="0.25">
      <c r="A569" s="1028"/>
      <c r="B569" s="1026"/>
      <c r="C569" s="356" t="s">
        <v>37</v>
      </c>
      <c r="D569" s="357">
        <v>109093.66</v>
      </c>
      <c r="E569" s="361" t="s">
        <v>550</v>
      </c>
      <c r="F569" s="358" t="s">
        <v>541</v>
      </c>
      <c r="G569" s="359">
        <v>109198.66</v>
      </c>
      <c r="H569" s="360">
        <v>42460</v>
      </c>
      <c r="I569" s="360">
        <v>42475</v>
      </c>
      <c r="J569" s="361">
        <v>109093.66</v>
      </c>
      <c r="K569" s="361">
        <v>109093.66</v>
      </c>
      <c r="L569" s="360"/>
      <c r="M569" s="361"/>
      <c r="N569" s="362"/>
      <c r="O569" s="466" t="s">
        <v>702</v>
      </c>
      <c r="P569" s="176"/>
      <c r="Q569" s="177"/>
      <c r="R569" s="132"/>
    </row>
    <row r="570" spans="1:22" ht="17.25" outlineLevel="1" thickBot="1" x14ac:dyDescent="0.3">
      <c r="A570" s="1006" t="s">
        <v>628</v>
      </c>
      <c r="B570" s="1007"/>
      <c r="C570" s="364"/>
      <c r="D570" s="365">
        <f>SUM(D567:D569)</f>
        <v>4492187.51</v>
      </c>
      <c r="E570" s="239"/>
      <c r="F570" s="239"/>
      <c r="G570" s="366">
        <f>SUM(G567:G569)</f>
        <v>4400462.51</v>
      </c>
      <c r="H570" s="239"/>
      <c r="I570" s="321"/>
      <c r="J570" s="191">
        <f>SUM(J567:J569)</f>
        <v>4563423.6500000004</v>
      </c>
      <c r="K570" s="365">
        <f>SUM(K567:K569)</f>
        <v>4563423.6500000004</v>
      </c>
      <c r="L570" s="367"/>
      <c r="M570" s="365"/>
      <c r="N570" s="368">
        <f>AVERAGE(N567:N569)</f>
        <v>0.7</v>
      </c>
      <c r="O570" s="369"/>
      <c r="P570" s="176"/>
      <c r="Q570" s="177"/>
      <c r="R570" s="132"/>
    </row>
    <row r="571" spans="1:22" s="69" customFormat="1" ht="33" customHeight="1" x14ac:dyDescent="0.25">
      <c r="A571" s="1027">
        <v>9</v>
      </c>
      <c r="B571" s="1025" t="s">
        <v>511</v>
      </c>
      <c r="C571" s="197" t="s">
        <v>500</v>
      </c>
      <c r="D571" s="162">
        <v>4291263.82</v>
      </c>
      <c r="E571" s="197" t="s">
        <v>1027</v>
      </c>
      <c r="F571" s="197" t="s">
        <v>1026</v>
      </c>
      <c r="G571" s="353">
        <v>4291263.82</v>
      </c>
      <c r="H571" s="210">
        <v>42673</v>
      </c>
      <c r="I571" s="161">
        <v>42714</v>
      </c>
      <c r="J571" s="162">
        <v>4454329.99</v>
      </c>
      <c r="K571" s="162">
        <v>4454329.99</v>
      </c>
      <c r="L571" s="161">
        <v>42732</v>
      </c>
      <c r="M571" s="199"/>
      <c r="N571" s="200">
        <v>0.95</v>
      </c>
      <c r="O571" s="382"/>
      <c r="P571" s="457"/>
      <c r="Q571" s="547"/>
      <c r="R571" s="236"/>
      <c r="S571" s="68"/>
      <c r="T571" s="68"/>
      <c r="U571" s="68"/>
      <c r="V571" s="68"/>
    </row>
    <row r="572" spans="1:22" s="78" customFormat="1" ht="15" customHeight="1" x14ac:dyDescent="0.25">
      <c r="A572" s="1062"/>
      <c r="B572" s="1061"/>
      <c r="C572" s="337" t="s">
        <v>1095</v>
      </c>
      <c r="D572" s="401">
        <v>91830</v>
      </c>
      <c r="E572" s="373"/>
      <c r="F572" s="373"/>
      <c r="G572" s="374"/>
      <c r="H572" s="171"/>
      <c r="I572" s="543"/>
      <c r="J572" s="544"/>
      <c r="K572" s="544"/>
      <c r="L572" s="545"/>
      <c r="M572" s="544"/>
      <c r="N572" s="404"/>
      <c r="O572" s="546"/>
      <c r="P572" s="176"/>
      <c r="Q572" s="177"/>
      <c r="R572" s="168"/>
      <c r="S572" s="19"/>
      <c r="T572" s="19"/>
      <c r="U572" s="19"/>
      <c r="V572" s="19"/>
    </row>
    <row r="573" spans="1:22" ht="49.5" outlineLevel="1" x14ac:dyDescent="0.25">
      <c r="A573" s="1028"/>
      <c r="B573" s="1026"/>
      <c r="C573" s="356" t="s">
        <v>37</v>
      </c>
      <c r="D573" s="357">
        <v>109093.66</v>
      </c>
      <c r="E573" s="361" t="s">
        <v>550</v>
      </c>
      <c r="F573" s="358" t="s">
        <v>541</v>
      </c>
      <c r="G573" s="359">
        <v>109198.66</v>
      </c>
      <c r="H573" s="360">
        <v>42460</v>
      </c>
      <c r="I573" s="360">
        <v>42475</v>
      </c>
      <c r="J573" s="361">
        <v>109093.66</v>
      </c>
      <c r="K573" s="361">
        <v>109093.66</v>
      </c>
      <c r="L573" s="360"/>
      <c r="M573" s="361"/>
      <c r="N573" s="362"/>
      <c r="O573" s="466" t="s">
        <v>702</v>
      </c>
      <c r="P573" s="176"/>
      <c r="Q573" s="177"/>
      <c r="R573" s="132"/>
    </row>
    <row r="574" spans="1:22" ht="15" customHeight="1" outlineLevel="1" thickBot="1" x14ac:dyDescent="0.3">
      <c r="A574" s="1006" t="s">
        <v>628</v>
      </c>
      <c r="B574" s="1007"/>
      <c r="C574" s="364"/>
      <c r="D574" s="365">
        <f>SUM(D571:D573)</f>
        <v>4492187.4800000004</v>
      </c>
      <c r="E574" s="239"/>
      <c r="F574" s="239"/>
      <c r="G574" s="366">
        <f>SUM(G571:G573)</f>
        <v>4400462.4800000004</v>
      </c>
      <c r="H574" s="239"/>
      <c r="I574" s="321"/>
      <c r="J574" s="191">
        <f>SUM(J571:J573)</f>
        <v>4563423.6500000004</v>
      </c>
      <c r="K574" s="365">
        <f>SUM(K571:K573)</f>
        <v>4563423.6500000004</v>
      </c>
      <c r="L574" s="367"/>
      <c r="M574" s="365"/>
      <c r="N574" s="368">
        <f>AVERAGE(N571:N573)</f>
        <v>0.95</v>
      </c>
      <c r="O574" s="369"/>
      <c r="P574" s="176"/>
      <c r="Q574" s="177"/>
      <c r="R574" s="132"/>
    </row>
    <row r="575" spans="1:22" s="8" customFormat="1" ht="23.25" customHeight="1" outlineLevel="1" x14ac:dyDescent="0.25">
      <c r="A575" s="1130" t="s">
        <v>1097</v>
      </c>
      <c r="B575" s="1131"/>
      <c r="C575" s="548"/>
      <c r="D575" s="324">
        <v>918394.15</v>
      </c>
      <c r="E575" s="325"/>
      <c r="F575" s="326"/>
      <c r="G575" s="327">
        <f>SUM(G576:G580)</f>
        <v>918394.15</v>
      </c>
      <c r="H575" s="328"/>
      <c r="I575" s="329"/>
      <c r="J575" s="324"/>
      <c r="K575" s="324"/>
      <c r="L575" s="330"/>
      <c r="M575" s="324"/>
      <c r="N575" s="331"/>
      <c r="O575" s="332"/>
      <c r="P575" s="176"/>
      <c r="Q575" s="446"/>
      <c r="R575" s="335"/>
      <c r="S575" s="2"/>
      <c r="T575" s="2"/>
      <c r="U575" s="2"/>
      <c r="V575" s="2"/>
    </row>
    <row r="576" spans="1:22" s="8" customFormat="1" ht="27" customHeight="1" outlineLevel="1" x14ac:dyDescent="0.25">
      <c r="A576" s="1026"/>
      <c r="B576" s="527" t="s">
        <v>1220</v>
      </c>
      <c r="C576" s="549" t="s">
        <v>37</v>
      </c>
      <c r="D576" s="339"/>
      <c r="E576" s="996" t="s">
        <v>1219</v>
      </c>
      <c r="F576" s="996" t="s">
        <v>541</v>
      </c>
      <c r="G576" s="339">
        <v>215213.91</v>
      </c>
      <c r="H576" s="1155">
        <v>42724</v>
      </c>
      <c r="I576" s="172"/>
      <c r="J576" s="338"/>
      <c r="K576" s="338"/>
      <c r="L576" s="340"/>
      <c r="M576" s="338"/>
      <c r="N576" s="341"/>
      <c r="O576" s="342"/>
      <c r="P576" s="528"/>
      <c r="Q576" s="446"/>
      <c r="R576" s="335"/>
      <c r="S576" s="2"/>
      <c r="T576" s="2"/>
      <c r="U576" s="2"/>
      <c r="V576" s="2"/>
    </row>
    <row r="577" spans="1:22" s="8" customFormat="1" ht="27" customHeight="1" outlineLevel="1" x14ac:dyDescent="0.25">
      <c r="A577" s="1026"/>
      <c r="B577" s="527" t="s">
        <v>1221</v>
      </c>
      <c r="C577" s="549" t="s">
        <v>37</v>
      </c>
      <c r="D577" s="339"/>
      <c r="E577" s="997"/>
      <c r="F577" s="997"/>
      <c r="G577" s="339">
        <v>169446.25</v>
      </c>
      <c r="H577" s="980"/>
      <c r="I577" s="172"/>
      <c r="J577" s="338"/>
      <c r="K577" s="338"/>
      <c r="L577" s="340"/>
      <c r="M577" s="338"/>
      <c r="N577" s="341"/>
      <c r="O577" s="342"/>
      <c r="P577" s="528"/>
      <c r="Q577" s="446"/>
      <c r="R577" s="335"/>
      <c r="S577" s="2"/>
      <c r="T577" s="2"/>
      <c r="U577" s="2"/>
      <c r="V577" s="2"/>
    </row>
    <row r="578" spans="1:22" s="8" customFormat="1" ht="31.5" customHeight="1" outlineLevel="1" x14ac:dyDescent="0.25">
      <c r="A578" s="1026"/>
      <c r="B578" s="527" t="s">
        <v>1222</v>
      </c>
      <c r="C578" s="549" t="s">
        <v>37</v>
      </c>
      <c r="D578" s="339"/>
      <c r="E578" s="997"/>
      <c r="F578" s="997"/>
      <c r="G578" s="339">
        <v>182691.27</v>
      </c>
      <c r="H578" s="980"/>
      <c r="I578" s="172"/>
      <c r="J578" s="338"/>
      <c r="K578" s="338"/>
      <c r="L578" s="340"/>
      <c r="M578" s="338"/>
      <c r="N578" s="341"/>
      <c r="O578" s="342"/>
      <c r="P578" s="528"/>
      <c r="Q578" s="446"/>
      <c r="R578" s="335"/>
      <c r="S578" s="2"/>
      <c r="T578" s="2"/>
      <c r="U578" s="2"/>
      <c r="V578" s="2"/>
    </row>
    <row r="579" spans="1:22" s="8" customFormat="1" ht="27.75" customHeight="1" outlineLevel="1" x14ac:dyDescent="0.25">
      <c r="A579" s="1026"/>
      <c r="B579" s="527" t="s">
        <v>1223</v>
      </c>
      <c r="C579" s="549" t="s">
        <v>37</v>
      </c>
      <c r="D579" s="339"/>
      <c r="E579" s="997"/>
      <c r="F579" s="997"/>
      <c r="G579" s="339">
        <v>182602.23</v>
      </c>
      <c r="H579" s="980"/>
      <c r="I579" s="172"/>
      <c r="J579" s="338"/>
      <c r="K579" s="338"/>
      <c r="L579" s="340"/>
      <c r="M579" s="338"/>
      <c r="N579" s="341"/>
      <c r="O579" s="342"/>
      <c r="P579" s="528"/>
      <c r="Q579" s="446"/>
      <c r="R579" s="335"/>
      <c r="S579" s="2"/>
      <c r="T579" s="2"/>
      <c r="U579" s="2"/>
      <c r="V579" s="2"/>
    </row>
    <row r="580" spans="1:22" s="8" customFormat="1" ht="19.5" customHeight="1" outlineLevel="1" x14ac:dyDescent="0.25">
      <c r="A580" s="1026"/>
      <c r="B580" s="527" t="s">
        <v>1224</v>
      </c>
      <c r="C580" s="549" t="s">
        <v>37</v>
      </c>
      <c r="D580" s="339"/>
      <c r="E580" s="1132"/>
      <c r="F580" s="1132"/>
      <c r="G580" s="339">
        <v>168440.49</v>
      </c>
      <c r="H580" s="1157"/>
      <c r="I580" s="172"/>
      <c r="J580" s="338"/>
      <c r="K580" s="338"/>
      <c r="L580" s="340"/>
      <c r="M580" s="338"/>
      <c r="N580" s="341"/>
      <c r="O580" s="342"/>
      <c r="P580" s="528"/>
      <c r="Q580" s="446"/>
      <c r="R580" s="335"/>
      <c r="S580" s="2"/>
      <c r="T580" s="2"/>
      <c r="U580" s="2"/>
      <c r="V580" s="2"/>
    </row>
    <row r="581" spans="1:22" ht="17.25" outlineLevel="1" thickBot="1" x14ac:dyDescent="0.3">
      <c r="A581" s="1014" t="s">
        <v>629</v>
      </c>
      <c r="B581" s="1015"/>
      <c r="C581" s="346"/>
      <c r="D581" s="426">
        <f>SUM(D574,D570,D566,D562,D555,D548,D541,D534,D527,D575)</f>
        <v>59278904.649999999</v>
      </c>
      <c r="E581" s="346"/>
      <c r="F581" s="346"/>
      <c r="G581" s="423">
        <f>SUM(G575,G574,G570,G566,G562,G555,G548,G541,G534,G527)</f>
        <v>58957482.589999996</v>
      </c>
      <c r="H581" s="346"/>
      <c r="I581" s="347"/>
      <c r="J581" s="426">
        <f>SUM(J574,J570,J566,J562,J555,J548,J541,J534,J527)</f>
        <v>25115507.280000001</v>
      </c>
      <c r="K581" s="426">
        <f>SUM(K574,K570,K566,K562,K555,K548,K541,K534,K527)</f>
        <v>25115507.280000001</v>
      </c>
      <c r="L581" s="425"/>
      <c r="M581" s="426"/>
      <c r="N581" s="427">
        <f>AVERAGE(N574,N570,N566,N562,N555,N548,N541,N534,N527)</f>
        <v>0.76944444444444438</v>
      </c>
      <c r="O581" s="428"/>
      <c r="P581" s="176"/>
      <c r="Q581" s="177"/>
      <c r="R581" s="132"/>
    </row>
    <row r="582" spans="1:22" s="5" customFormat="1" ht="21" customHeight="1" thickBot="1" x14ac:dyDescent="0.3">
      <c r="A582" s="1038" t="s">
        <v>636</v>
      </c>
      <c r="B582" s="1039"/>
      <c r="C582" s="1039"/>
      <c r="D582" s="1039"/>
      <c r="E582" s="1039"/>
      <c r="F582" s="1039"/>
      <c r="G582" s="1039"/>
      <c r="H582" s="1039"/>
      <c r="I582" s="1039"/>
      <c r="J582" s="1039"/>
      <c r="K582" s="1039"/>
      <c r="L582" s="1039"/>
      <c r="M582" s="1039"/>
      <c r="N582" s="1039"/>
      <c r="O582" s="1039"/>
      <c r="P582" s="176"/>
      <c r="Q582" s="177"/>
      <c r="R582" s="168"/>
      <c r="S582" s="19"/>
      <c r="T582" s="19"/>
      <c r="U582" s="19"/>
      <c r="V582" s="19"/>
    </row>
    <row r="583" spans="1:22" s="5" customFormat="1" ht="33" x14ac:dyDescent="0.25">
      <c r="A583" s="1027">
        <v>1</v>
      </c>
      <c r="B583" s="1025" t="s">
        <v>156</v>
      </c>
      <c r="C583" s="197" t="s">
        <v>500</v>
      </c>
      <c r="D583" s="162">
        <v>8484000</v>
      </c>
      <c r="E583" s="197" t="s">
        <v>1111</v>
      </c>
      <c r="F583" s="197" t="s">
        <v>750</v>
      </c>
      <c r="G583" s="353">
        <v>8484000</v>
      </c>
      <c r="H583" s="161">
        <v>42701</v>
      </c>
      <c r="I583" s="161">
        <v>42713</v>
      </c>
      <c r="J583" s="162">
        <v>7809380.5199999996</v>
      </c>
      <c r="K583" s="162">
        <v>7809380.5199999996</v>
      </c>
      <c r="L583" s="161">
        <v>42724</v>
      </c>
      <c r="M583" s="162"/>
      <c r="N583" s="200">
        <v>1</v>
      </c>
      <c r="O583" s="382"/>
      <c r="P583" s="176"/>
      <c r="Q583" s="177"/>
      <c r="R583" s="132"/>
      <c r="S583" s="18"/>
      <c r="T583" s="18"/>
      <c r="U583" s="19"/>
      <c r="V583" s="19"/>
    </row>
    <row r="584" spans="1:22" ht="49.5" outlineLevel="1" x14ac:dyDescent="0.25">
      <c r="A584" s="1028"/>
      <c r="B584" s="1026"/>
      <c r="C584" s="356" t="s">
        <v>37</v>
      </c>
      <c r="D584" s="357">
        <v>95282.69</v>
      </c>
      <c r="E584" s="358" t="s">
        <v>546</v>
      </c>
      <c r="F584" s="358" t="s">
        <v>543</v>
      </c>
      <c r="G584" s="359">
        <v>95282.68</v>
      </c>
      <c r="H584" s="360">
        <v>42363</v>
      </c>
      <c r="I584" s="360">
        <v>42635</v>
      </c>
      <c r="J584" s="361">
        <v>95282.69</v>
      </c>
      <c r="K584" s="361">
        <v>95282.69</v>
      </c>
      <c r="L584" s="360"/>
      <c r="M584" s="361"/>
      <c r="N584" s="362"/>
      <c r="O584" s="466" t="s">
        <v>703</v>
      </c>
      <c r="P584" s="176"/>
      <c r="Q584" s="177"/>
      <c r="R584" s="132"/>
    </row>
    <row r="585" spans="1:22" ht="17.25" outlineLevel="1" thickBot="1" x14ac:dyDescent="0.3">
      <c r="A585" s="1006" t="s">
        <v>628</v>
      </c>
      <c r="B585" s="1007"/>
      <c r="C585" s="364"/>
      <c r="D585" s="365">
        <f>SUM(D583:D584)</f>
        <v>8579282.6899999995</v>
      </c>
      <c r="E585" s="239"/>
      <c r="F585" s="239"/>
      <c r="G585" s="366">
        <f>SUM(G583:G584)</f>
        <v>8579282.6799999997</v>
      </c>
      <c r="H585" s="239"/>
      <c r="I585" s="321"/>
      <c r="J585" s="365">
        <f>SUM(J583:J584)</f>
        <v>7904663.21</v>
      </c>
      <c r="K585" s="365">
        <f>SUM(K583:K584)</f>
        <v>7904663.21</v>
      </c>
      <c r="L585" s="367"/>
      <c r="M585" s="365"/>
      <c r="N585" s="368">
        <f>AVERAGE(N583:N584)</f>
        <v>1</v>
      </c>
      <c r="O585" s="369"/>
      <c r="P585" s="176"/>
      <c r="Q585" s="177"/>
      <c r="R585" s="132"/>
    </row>
    <row r="586" spans="1:22" s="5" customFormat="1" ht="33" x14ac:dyDescent="0.25">
      <c r="A586" s="1027">
        <v>2</v>
      </c>
      <c r="B586" s="1025" t="s">
        <v>155</v>
      </c>
      <c r="C586" s="197" t="s">
        <v>500</v>
      </c>
      <c r="D586" s="162">
        <v>3201395.15</v>
      </c>
      <c r="E586" s="197" t="s">
        <v>1471</v>
      </c>
      <c r="F586" s="509" t="s">
        <v>750</v>
      </c>
      <c r="G586" s="353">
        <v>3201395.15</v>
      </c>
      <c r="H586" s="161">
        <v>42691</v>
      </c>
      <c r="I586" s="161">
        <v>42713</v>
      </c>
      <c r="J586" s="162">
        <v>3200536.48</v>
      </c>
      <c r="K586" s="162">
        <v>3200536.48</v>
      </c>
      <c r="L586" s="161"/>
      <c r="M586" s="162"/>
      <c r="N586" s="200">
        <v>1</v>
      </c>
      <c r="O586" s="382"/>
      <c r="P586" s="176"/>
      <c r="Q586" s="177"/>
      <c r="R586" s="132"/>
      <c r="S586" s="18"/>
      <c r="T586" s="18"/>
      <c r="U586" s="19"/>
      <c r="V586" s="19"/>
    </row>
    <row r="587" spans="1:22" ht="49.5" outlineLevel="1" x14ac:dyDescent="0.25">
      <c r="A587" s="1028"/>
      <c r="B587" s="1026"/>
      <c r="C587" s="356" t="s">
        <v>37</v>
      </c>
      <c r="D587" s="357">
        <v>94156.77</v>
      </c>
      <c r="E587" s="358" t="s">
        <v>546</v>
      </c>
      <c r="F587" s="358" t="s">
        <v>543</v>
      </c>
      <c r="G587" s="359">
        <v>94156.77</v>
      </c>
      <c r="H587" s="360">
        <v>42363</v>
      </c>
      <c r="I587" s="360">
        <v>42635</v>
      </c>
      <c r="J587" s="361">
        <v>94156.77</v>
      </c>
      <c r="K587" s="361">
        <v>94156.77</v>
      </c>
      <c r="L587" s="360"/>
      <c r="M587" s="361"/>
      <c r="N587" s="362"/>
      <c r="O587" s="466" t="s">
        <v>703</v>
      </c>
      <c r="P587" s="176"/>
      <c r="Q587" s="177"/>
      <c r="R587" s="168"/>
      <c r="S587" s="19"/>
      <c r="T587" s="19"/>
    </row>
    <row r="588" spans="1:22" ht="17.25" outlineLevel="1" thickBot="1" x14ac:dyDescent="0.3">
      <c r="A588" s="1006" t="s">
        <v>628</v>
      </c>
      <c r="B588" s="1007"/>
      <c r="C588" s="364"/>
      <c r="D588" s="365">
        <f>SUM(D586:D587)</f>
        <v>3295551.92</v>
      </c>
      <c r="E588" s="239"/>
      <c r="F588" s="239"/>
      <c r="G588" s="366">
        <f>SUM(G586:G587)</f>
        <v>3295551.92</v>
      </c>
      <c r="H588" s="239"/>
      <c r="I588" s="321"/>
      <c r="J588" s="365">
        <f>SUM(J586:J587)</f>
        <v>3294693.25</v>
      </c>
      <c r="K588" s="365">
        <f>SUM(K586:K587)</f>
        <v>3294693.25</v>
      </c>
      <c r="L588" s="367"/>
      <c r="M588" s="365"/>
      <c r="N588" s="368">
        <f>AVERAGE(N586:N587)</f>
        <v>1</v>
      </c>
      <c r="O588" s="369"/>
      <c r="P588" s="176"/>
      <c r="Q588" s="177"/>
      <c r="R588" s="132"/>
    </row>
    <row r="589" spans="1:22" s="5" customFormat="1" ht="33" x14ac:dyDescent="0.25">
      <c r="A589" s="1027">
        <v>3</v>
      </c>
      <c r="B589" s="1025" t="s">
        <v>152</v>
      </c>
      <c r="C589" s="197" t="s">
        <v>500</v>
      </c>
      <c r="D589" s="162">
        <v>9374604.4900000002</v>
      </c>
      <c r="E589" s="197" t="s">
        <v>1471</v>
      </c>
      <c r="F589" s="509" t="s">
        <v>750</v>
      </c>
      <c r="G589" s="353">
        <v>9374604.4900000002</v>
      </c>
      <c r="H589" s="161">
        <v>42691</v>
      </c>
      <c r="I589" s="161">
        <v>42703</v>
      </c>
      <c r="J589" s="162">
        <v>10104141.359999999</v>
      </c>
      <c r="K589" s="162">
        <v>10104141.359999999</v>
      </c>
      <c r="L589" s="161">
        <v>42719</v>
      </c>
      <c r="M589" s="162"/>
      <c r="N589" s="200">
        <v>1</v>
      </c>
      <c r="O589" s="382"/>
      <c r="P589" s="176"/>
      <c r="Q589" s="177"/>
      <c r="R589" s="132"/>
      <c r="S589" s="18"/>
      <c r="T589" s="18"/>
      <c r="U589" s="19"/>
      <c r="V589" s="19"/>
    </row>
    <row r="590" spans="1:22" ht="33" outlineLevel="1" x14ac:dyDescent="0.25">
      <c r="A590" s="1028"/>
      <c r="B590" s="1026"/>
      <c r="C590" s="337" t="s">
        <v>501</v>
      </c>
      <c r="D590" s="303">
        <v>25897299.52</v>
      </c>
      <c r="E590" s="432" t="s">
        <v>1169</v>
      </c>
      <c r="F590" s="432" t="s">
        <v>750</v>
      </c>
      <c r="G590" s="459">
        <v>25897000</v>
      </c>
      <c r="H590" s="171">
        <v>42809</v>
      </c>
      <c r="I590" s="172"/>
      <c r="J590" s="173"/>
      <c r="K590" s="173"/>
      <c r="L590" s="171"/>
      <c r="M590" s="173"/>
      <c r="N590" s="174">
        <v>0.05</v>
      </c>
      <c r="O590" s="301"/>
      <c r="P590" s="176">
        <v>2017</v>
      </c>
      <c r="Q590" s="177"/>
      <c r="R590" s="168"/>
      <c r="S590" s="19"/>
      <c r="T590" s="19"/>
    </row>
    <row r="591" spans="1:22" ht="49.5" outlineLevel="1" x14ac:dyDescent="0.25">
      <c r="A591" s="1028"/>
      <c r="B591" s="1026"/>
      <c r="C591" s="356" t="s">
        <v>37</v>
      </c>
      <c r="D591" s="357">
        <v>199890.39</v>
      </c>
      <c r="E591" s="358" t="s">
        <v>546</v>
      </c>
      <c r="F591" s="358" t="s">
        <v>543</v>
      </c>
      <c r="G591" s="359">
        <v>199890.4</v>
      </c>
      <c r="H591" s="360">
        <v>42363</v>
      </c>
      <c r="I591" s="360">
        <v>42635</v>
      </c>
      <c r="J591" s="361">
        <v>199890.39</v>
      </c>
      <c r="K591" s="361">
        <v>199890.39</v>
      </c>
      <c r="L591" s="360"/>
      <c r="M591" s="361"/>
      <c r="N591" s="362"/>
      <c r="O591" s="466" t="s">
        <v>704</v>
      </c>
      <c r="P591" s="176"/>
      <c r="Q591" s="177"/>
      <c r="R591" s="132"/>
    </row>
    <row r="592" spans="1:22" ht="17.25" outlineLevel="1" thickBot="1" x14ac:dyDescent="0.3">
      <c r="A592" s="1006" t="s">
        <v>628</v>
      </c>
      <c r="B592" s="1007"/>
      <c r="C592" s="364"/>
      <c r="D592" s="365">
        <f>SUM(D589:D591)</f>
        <v>35471794.399999999</v>
      </c>
      <c r="E592" s="239"/>
      <c r="F592" s="239"/>
      <c r="G592" s="366">
        <f>SUM(G589:G591)</f>
        <v>35471494.890000001</v>
      </c>
      <c r="H592" s="239"/>
      <c r="I592" s="321"/>
      <c r="J592" s="365">
        <f>SUM(J589:J591)</f>
        <v>10304031.75</v>
      </c>
      <c r="K592" s="365">
        <f>SUM(K589:K591)</f>
        <v>10304031.75</v>
      </c>
      <c r="L592" s="367"/>
      <c r="M592" s="365"/>
      <c r="N592" s="368">
        <f>AVERAGE(N589:N591)</f>
        <v>0.52500000000000002</v>
      </c>
      <c r="O592" s="369"/>
      <c r="P592" s="176"/>
      <c r="Q592" s="177"/>
      <c r="R592" s="132"/>
    </row>
    <row r="593" spans="1:22" s="5" customFormat="1" ht="33" x14ac:dyDescent="0.25">
      <c r="A593" s="1027">
        <v>4</v>
      </c>
      <c r="B593" s="1025" t="s">
        <v>153</v>
      </c>
      <c r="C593" s="197" t="s">
        <v>500</v>
      </c>
      <c r="D593" s="162">
        <v>3724000</v>
      </c>
      <c r="E593" s="197" t="s">
        <v>1155</v>
      </c>
      <c r="F593" s="197" t="s">
        <v>750</v>
      </c>
      <c r="G593" s="353">
        <v>3724000</v>
      </c>
      <c r="H593" s="161">
        <v>42719</v>
      </c>
      <c r="I593" s="161">
        <v>42713</v>
      </c>
      <c r="J593" s="162">
        <v>3648199.77</v>
      </c>
      <c r="K593" s="162">
        <v>3648199.77</v>
      </c>
      <c r="L593" s="161"/>
      <c r="M593" s="162"/>
      <c r="N593" s="200">
        <v>1</v>
      </c>
      <c r="O593" s="382"/>
      <c r="P593" s="176"/>
      <c r="Q593" s="177"/>
      <c r="R593" s="132"/>
      <c r="S593" s="18"/>
      <c r="T593" s="18"/>
      <c r="U593" s="19"/>
      <c r="V593" s="19"/>
    </row>
    <row r="594" spans="1:22" s="69" customFormat="1" ht="33" x14ac:dyDescent="0.25">
      <c r="A594" s="1062"/>
      <c r="B594" s="1061"/>
      <c r="C594" s="253" t="s">
        <v>501</v>
      </c>
      <c r="D594" s="275">
        <v>10313000</v>
      </c>
      <c r="E594" s="273" t="s">
        <v>1113</v>
      </c>
      <c r="F594" s="273" t="s">
        <v>750</v>
      </c>
      <c r="G594" s="486">
        <v>10313000</v>
      </c>
      <c r="H594" s="212">
        <v>42719</v>
      </c>
      <c r="I594" s="212">
        <v>42726</v>
      </c>
      <c r="J594" s="275">
        <v>9928567.3800000008</v>
      </c>
      <c r="K594" s="275">
        <v>9928567.3800000008</v>
      </c>
      <c r="L594" s="212"/>
      <c r="M594" s="275"/>
      <c r="N594" s="488">
        <v>1</v>
      </c>
      <c r="O594" s="550"/>
      <c r="P594" s="457">
        <v>2017</v>
      </c>
      <c r="Q594" s="547"/>
      <c r="R594" s="383"/>
      <c r="S594" s="67"/>
      <c r="T594" s="67"/>
      <c r="U594" s="68"/>
      <c r="V594" s="68"/>
    </row>
    <row r="595" spans="1:22" ht="49.5" outlineLevel="1" x14ac:dyDescent="0.25">
      <c r="A595" s="1028"/>
      <c r="B595" s="1026"/>
      <c r="C595" s="356" t="s">
        <v>37</v>
      </c>
      <c r="D595" s="357">
        <v>97534.080000000002</v>
      </c>
      <c r="E595" s="358" t="s">
        <v>546</v>
      </c>
      <c r="F595" s="358" t="s">
        <v>543</v>
      </c>
      <c r="G595" s="359">
        <v>97534.080000000002</v>
      </c>
      <c r="H595" s="360">
        <v>42363</v>
      </c>
      <c r="I595" s="360">
        <v>42635</v>
      </c>
      <c r="J595" s="361">
        <v>97534.080000000002</v>
      </c>
      <c r="K595" s="361">
        <v>97534.080000000002</v>
      </c>
      <c r="L595" s="360"/>
      <c r="M595" s="361"/>
      <c r="N595" s="362"/>
      <c r="O595" s="466" t="s">
        <v>703</v>
      </c>
      <c r="P595" s="176"/>
      <c r="Q595" s="177"/>
      <c r="R595" s="132"/>
    </row>
    <row r="596" spans="1:22" ht="17.25" outlineLevel="1" thickBot="1" x14ac:dyDescent="0.3">
      <c r="A596" s="1006" t="s">
        <v>628</v>
      </c>
      <c r="B596" s="1007"/>
      <c r="C596" s="364"/>
      <c r="D596" s="365">
        <f>SUM(D593:D595)</f>
        <v>14134534.08</v>
      </c>
      <c r="E596" s="188"/>
      <c r="F596" s="188"/>
      <c r="G596" s="366">
        <f>SUM(G593:G595)</f>
        <v>14134534.08</v>
      </c>
      <c r="H596" s="188"/>
      <c r="I596" s="190"/>
      <c r="J596" s="365">
        <f>SUM(J593:J595)</f>
        <v>13674301.23</v>
      </c>
      <c r="K596" s="365">
        <f>SUM(K593:K595)</f>
        <v>13674301.23</v>
      </c>
      <c r="L596" s="367"/>
      <c r="M596" s="365"/>
      <c r="N596" s="368">
        <f>AVERAGE(N593:N595)</f>
        <v>1</v>
      </c>
      <c r="O596" s="369"/>
      <c r="P596" s="176"/>
      <c r="Q596" s="177"/>
      <c r="R596" s="168"/>
      <c r="S596" s="19"/>
      <c r="T596" s="19"/>
    </row>
    <row r="597" spans="1:22" s="5" customFormat="1" ht="33" x14ac:dyDescent="0.25">
      <c r="A597" s="1027">
        <v>5</v>
      </c>
      <c r="B597" s="1025" t="s">
        <v>154</v>
      </c>
      <c r="C597" s="371" t="s">
        <v>500</v>
      </c>
      <c r="D597" s="372">
        <v>12294772.82</v>
      </c>
      <c r="E597" s="220" t="s">
        <v>1164</v>
      </c>
      <c r="F597" s="373" t="s">
        <v>876</v>
      </c>
      <c r="G597" s="463">
        <v>12924772.82</v>
      </c>
      <c r="H597" s="223">
        <v>42733</v>
      </c>
      <c r="I597" s="375"/>
      <c r="J597" s="221"/>
      <c r="K597" s="221">
        <v>1229478</v>
      </c>
      <c r="L597" s="223"/>
      <c r="M597" s="221"/>
      <c r="N597" s="376">
        <v>0.15</v>
      </c>
      <c r="O597" s="370"/>
      <c r="P597" s="176"/>
      <c r="Q597" s="177"/>
      <c r="R597" s="132"/>
      <c r="S597" s="18"/>
      <c r="T597" s="18"/>
      <c r="U597" s="19"/>
      <c r="V597" s="19"/>
    </row>
    <row r="598" spans="1:22" s="78" customFormat="1" ht="33" x14ac:dyDescent="0.25">
      <c r="A598" s="1062"/>
      <c r="B598" s="1061"/>
      <c r="C598" s="337" t="s">
        <v>501</v>
      </c>
      <c r="D598" s="401">
        <v>12325671.119999999</v>
      </c>
      <c r="E598" s="373" t="s">
        <v>1103</v>
      </c>
      <c r="F598" s="373" t="s">
        <v>876</v>
      </c>
      <c r="G598" s="374">
        <v>12325671.119999999</v>
      </c>
      <c r="H598" s="179">
        <v>42733</v>
      </c>
      <c r="I598" s="402"/>
      <c r="J598" s="403"/>
      <c r="K598" s="403"/>
      <c r="L598" s="179"/>
      <c r="M598" s="403"/>
      <c r="N598" s="404">
        <v>0.15</v>
      </c>
      <c r="O598" s="546"/>
      <c r="P598" s="176">
        <v>2017</v>
      </c>
      <c r="Q598" s="177"/>
      <c r="R598" s="132"/>
      <c r="S598" s="18"/>
      <c r="T598" s="18"/>
      <c r="U598" s="19"/>
      <c r="V598" s="19"/>
    </row>
    <row r="599" spans="1:22" ht="49.5" outlineLevel="1" x14ac:dyDescent="0.25">
      <c r="A599" s="1028"/>
      <c r="B599" s="1026"/>
      <c r="C599" s="356" t="s">
        <v>37</v>
      </c>
      <c r="D599" s="357">
        <v>103136.07</v>
      </c>
      <c r="E599" s="358" t="s">
        <v>546</v>
      </c>
      <c r="F599" s="358" t="s">
        <v>543</v>
      </c>
      <c r="G599" s="359">
        <v>103136.07</v>
      </c>
      <c r="H599" s="360">
        <v>42363</v>
      </c>
      <c r="I599" s="360">
        <v>42635</v>
      </c>
      <c r="J599" s="361">
        <v>103136.07</v>
      </c>
      <c r="K599" s="361">
        <v>103136.07</v>
      </c>
      <c r="L599" s="360"/>
      <c r="M599" s="361"/>
      <c r="N599" s="362"/>
      <c r="O599" s="466" t="s">
        <v>703</v>
      </c>
      <c r="P599" s="176"/>
      <c r="Q599" s="177"/>
      <c r="R599" s="132"/>
    </row>
    <row r="600" spans="1:22" ht="17.25" outlineLevel="1" thickBot="1" x14ac:dyDescent="0.3">
      <c r="A600" s="1006" t="s">
        <v>628</v>
      </c>
      <c r="B600" s="1007"/>
      <c r="C600" s="364"/>
      <c r="D600" s="365">
        <f>SUM(D597:D599)</f>
        <v>24723580.009999998</v>
      </c>
      <c r="E600" s="239"/>
      <c r="F600" s="239"/>
      <c r="G600" s="366">
        <f>SUM(G597:G599)</f>
        <v>25353580.009999998</v>
      </c>
      <c r="H600" s="239"/>
      <c r="I600" s="321"/>
      <c r="J600" s="365">
        <f>SUM(J597:J599)</f>
        <v>103136.07</v>
      </c>
      <c r="K600" s="365">
        <f>SUM(K597:K599)</f>
        <v>1332614.07</v>
      </c>
      <c r="L600" s="367"/>
      <c r="M600" s="365"/>
      <c r="N600" s="368">
        <f>AVERAGE(N597:N599)</f>
        <v>0.15</v>
      </c>
      <c r="O600" s="369"/>
      <c r="P600" s="176"/>
      <c r="Q600" s="177"/>
      <c r="R600" s="132"/>
    </row>
    <row r="601" spans="1:22" s="97" customFormat="1" ht="45" customHeight="1" outlineLevel="1" x14ac:dyDescent="0.25">
      <c r="A601" s="551"/>
      <c r="B601" s="552" t="s">
        <v>512</v>
      </c>
      <c r="C601" s="358" t="s">
        <v>37</v>
      </c>
      <c r="D601" s="361">
        <v>144416.16</v>
      </c>
      <c r="E601" s="358" t="s">
        <v>1466</v>
      </c>
      <c r="F601" s="358" t="s">
        <v>1467</v>
      </c>
      <c r="G601" s="553">
        <v>122386.58</v>
      </c>
      <c r="H601" s="360">
        <v>42489</v>
      </c>
      <c r="I601" s="360">
        <v>42489</v>
      </c>
      <c r="J601" s="361">
        <v>144416.16</v>
      </c>
      <c r="K601" s="361">
        <v>144416.16</v>
      </c>
      <c r="L601" s="554"/>
      <c r="M601" s="555"/>
      <c r="N601" s="556"/>
      <c r="O601" s="557"/>
      <c r="P601" s="558"/>
      <c r="Q601" s="557"/>
      <c r="R601" s="559"/>
      <c r="S601" s="96"/>
      <c r="T601" s="96"/>
      <c r="U601" s="96"/>
      <c r="V601" s="96"/>
    </row>
    <row r="602" spans="1:22" ht="17.25" outlineLevel="1" thickBot="1" x14ac:dyDescent="0.3">
      <c r="A602" s="1006" t="s">
        <v>628</v>
      </c>
      <c r="B602" s="1007"/>
      <c r="C602" s="364"/>
      <c r="D602" s="365">
        <f t="shared" ref="D602:O602" si="64">SUM(D601:D601)</f>
        <v>144416.16</v>
      </c>
      <c r="E602" s="365">
        <f t="shared" si="64"/>
        <v>0</v>
      </c>
      <c r="F602" s="365">
        <f t="shared" si="64"/>
        <v>0</v>
      </c>
      <c r="G602" s="365">
        <f t="shared" si="64"/>
        <v>122386.58</v>
      </c>
      <c r="H602" s="365">
        <f t="shared" si="64"/>
        <v>42489</v>
      </c>
      <c r="I602" s="365">
        <f t="shared" si="64"/>
        <v>42489</v>
      </c>
      <c r="J602" s="365">
        <f t="shared" si="64"/>
        <v>144416.16</v>
      </c>
      <c r="K602" s="365">
        <f t="shared" si="64"/>
        <v>144416.16</v>
      </c>
      <c r="L602" s="367">
        <f t="shared" si="64"/>
        <v>0</v>
      </c>
      <c r="M602" s="365">
        <f t="shared" si="64"/>
        <v>0</v>
      </c>
      <c r="N602" s="365">
        <f t="shared" si="64"/>
        <v>0</v>
      </c>
      <c r="O602" s="365">
        <f t="shared" si="64"/>
        <v>0</v>
      </c>
      <c r="P602" s="176"/>
      <c r="Q602" s="177"/>
      <c r="R602" s="132"/>
    </row>
    <row r="603" spans="1:22" ht="33.75" outlineLevel="1" thickBot="1" x14ac:dyDescent="0.3">
      <c r="A603" s="560">
        <v>7</v>
      </c>
      <c r="B603" s="561" t="s">
        <v>1092</v>
      </c>
      <c r="C603" s="479" t="s">
        <v>500</v>
      </c>
      <c r="D603" s="498">
        <v>3185518.56</v>
      </c>
      <c r="E603" s="479" t="s">
        <v>1288</v>
      </c>
      <c r="F603" s="509" t="s">
        <v>876</v>
      </c>
      <c r="G603" s="562">
        <v>3185518.56</v>
      </c>
      <c r="H603" s="257">
        <v>42657</v>
      </c>
      <c r="I603" s="257">
        <v>42691</v>
      </c>
      <c r="J603" s="498">
        <v>3383246.44</v>
      </c>
      <c r="K603" s="498">
        <v>3383246.44</v>
      </c>
      <c r="L603" s="257">
        <v>42703</v>
      </c>
      <c r="M603" s="563"/>
      <c r="N603" s="564">
        <v>1</v>
      </c>
      <c r="O603" s="565"/>
      <c r="P603" s="176"/>
      <c r="Q603" s="177"/>
      <c r="R603" s="132"/>
    </row>
    <row r="604" spans="1:22" ht="17.25" outlineLevel="1" thickBot="1" x14ac:dyDescent="0.3">
      <c r="A604" s="1097" t="s">
        <v>628</v>
      </c>
      <c r="B604" s="1098"/>
      <c r="C604" s="566"/>
      <c r="D604" s="567">
        <f>SUM(D603:D603)</f>
        <v>3185518.56</v>
      </c>
      <c r="E604" s="568"/>
      <c r="F604" s="569"/>
      <c r="G604" s="570">
        <v>3185518.56</v>
      </c>
      <c r="H604" s="571"/>
      <c r="I604" s="329"/>
      <c r="J604" s="567">
        <f>J603</f>
        <v>3383246.44</v>
      </c>
      <c r="K604" s="567">
        <f>K603</f>
        <v>3383246.44</v>
      </c>
      <c r="L604" s="572"/>
      <c r="M604" s="567"/>
      <c r="N604" s="368">
        <f>AVERAGE(N603)</f>
        <v>1</v>
      </c>
      <c r="O604" s="398"/>
      <c r="P604" s="176"/>
      <c r="Q604" s="177"/>
      <c r="R604" s="132"/>
    </row>
    <row r="605" spans="1:22" s="8" customFormat="1" ht="19.5" customHeight="1" outlineLevel="1" x14ac:dyDescent="0.25">
      <c r="A605" s="1130" t="s">
        <v>1097</v>
      </c>
      <c r="B605" s="1131"/>
      <c r="C605" s="1153"/>
      <c r="D605" s="406">
        <v>498108.36</v>
      </c>
      <c r="E605" s="325"/>
      <c r="F605" s="221"/>
      <c r="G605" s="406">
        <f>SUM(G606:G610)</f>
        <v>498108.36139999999</v>
      </c>
      <c r="H605" s="328"/>
      <c r="I605" s="375"/>
      <c r="J605" s="406"/>
      <c r="K605" s="406"/>
      <c r="L605" s="408"/>
      <c r="M605" s="406"/>
      <c r="N605" s="573"/>
      <c r="O605" s="410"/>
      <c r="P605" s="176"/>
      <c r="Q605" s="446"/>
      <c r="R605" s="335"/>
      <c r="S605" s="2"/>
      <c r="T605" s="2"/>
      <c r="U605" s="2"/>
      <c r="V605" s="2"/>
    </row>
    <row r="606" spans="1:22" s="8" customFormat="1" ht="28.5" customHeight="1" outlineLevel="1" x14ac:dyDescent="0.25">
      <c r="A606" s="1143"/>
      <c r="B606" s="574" t="s">
        <v>1207</v>
      </c>
      <c r="C606" s="400" t="s">
        <v>37</v>
      </c>
      <c r="D606" s="575"/>
      <c r="E606" s="996" t="s">
        <v>1212</v>
      </c>
      <c r="F606" s="998" t="s">
        <v>1213</v>
      </c>
      <c r="G606" s="575">
        <v>101667.325</v>
      </c>
      <c r="H606" s="1155">
        <v>42756</v>
      </c>
      <c r="I606" s="982"/>
      <c r="J606" s="576"/>
      <c r="K606" s="577"/>
      <c r="L606" s="340"/>
      <c r="M606" s="338"/>
      <c r="N606" s="341"/>
      <c r="O606" s="578"/>
      <c r="P606" s="176"/>
      <c r="Q606" s="446"/>
      <c r="R606" s="335"/>
      <c r="S606" s="2"/>
      <c r="T606" s="2"/>
      <c r="U606" s="2"/>
      <c r="V606" s="2"/>
    </row>
    <row r="607" spans="1:22" s="8" customFormat="1" ht="30.75" customHeight="1" outlineLevel="1" x14ac:dyDescent="0.25">
      <c r="A607" s="1143"/>
      <c r="B607" s="574" t="s">
        <v>1208</v>
      </c>
      <c r="C607" s="337" t="s">
        <v>37</v>
      </c>
      <c r="D607" s="339"/>
      <c r="E607" s="997"/>
      <c r="F607" s="998"/>
      <c r="G607" s="339">
        <v>98551.015799999994</v>
      </c>
      <c r="H607" s="980"/>
      <c r="I607" s="982"/>
      <c r="J607" s="576"/>
      <c r="K607" s="576"/>
      <c r="L607" s="579"/>
      <c r="M607" s="577"/>
      <c r="N607" s="341"/>
      <c r="O607" s="578"/>
      <c r="P607" s="176"/>
      <c r="Q607" s="446"/>
      <c r="R607" s="335"/>
      <c r="S607" s="2"/>
      <c r="T607" s="2"/>
      <c r="U607" s="2"/>
      <c r="V607" s="2"/>
    </row>
    <row r="608" spans="1:22" s="8" customFormat="1" ht="30.75" customHeight="1" outlineLevel="1" x14ac:dyDescent="0.25">
      <c r="A608" s="1143"/>
      <c r="B608" s="580" t="s">
        <v>1209</v>
      </c>
      <c r="C608" s="337" t="s">
        <v>37</v>
      </c>
      <c r="D608" s="339"/>
      <c r="E608" s="997"/>
      <c r="F608" s="998"/>
      <c r="G608" s="339">
        <v>100080.69699999999</v>
      </c>
      <c r="H608" s="980"/>
      <c r="I608" s="982"/>
      <c r="J608" s="576"/>
      <c r="K608" s="576"/>
      <c r="L608" s="579"/>
      <c r="M608" s="577"/>
      <c r="N608" s="581"/>
      <c r="O608" s="578"/>
      <c r="P608" s="176"/>
      <c r="Q608" s="446"/>
      <c r="R608" s="335"/>
      <c r="S608" s="2"/>
      <c r="T608" s="2"/>
      <c r="U608" s="2"/>
      <c r="V608" s="2"/>
    </row>
    <row r="609" spans="1:22" s="8" customFormat="1" ht="29.25" customHeight="1" outlineLevel="1" x14ac:dyDescent="0.25">
      <c r="A609" s="1143"/>
      <c r="B609" s="582" t="s">
        <v>1210</v>
      </c>
      <c r="C609" s="337" t="s">
        <v>37</v>
      </c>
      <c r="D609" s="339"/>
      <c r="E609" s="997"/>
      <c r="F609" s="998"/>
      <c r="G609" s="339">
        <v>99171.908200000005</v>
      </c>
      <c r="H609" s="980"/>
      <c r="I609" s="982"/>
      <c r="J609" s="576"/>
      <c r="K609" s="583"/>
      <c r="L609" s="340"/>
      <c r="M609" s="338"/>
      <c r="N609" s="584"/>
      <c r="O609" s="578"/>
      <c r="P609" s="176"/>
      <c r="Q609" s="446"/>
      <c r="R609" s="335"/>
      <c r="S609" s="2"/>
      <c r="T609" s="2"/>
      <c r="U609" s="2"/>
      <c r="V609" s="2"/>
    </row>
    <row r="610" spans="1:22" s="8" customFormat="1" ht="31.5" customHeight="1" outlineLevel="1" thickBot="1" x14ac:dyDescent="0.3">
      <c r="A610" s="1143"/>
      <c r="B610" s="582" t="s">
        <v>1211</v>
      </c>
      <c r="C610" s="377" t="s">
        <v>37</v>
      </c>
      <c r="D610" s="585"/>
      <c r="E610" s="997"/>
      <c r="F610" s="998"/>
      <c r="G610" s="481">
        <v>98637.415399999998</v>
      </c>
      <c r="H610" s="980"/>
      <c r="I610" s="982"/>
      <c r="J610" s="576"/>
      <c r="K610" s="583"/>
      <c r="L610" s="579"/>
      <c r="M610" s="577"/>
      <c r="N610" s="586"/>
      <c r="O610" s="578"/>
      <c r="P610" s="176"/>
      <c r="Q610" s="446"/>
      <c r="R610" s="335"/>
      <c r="S610" s="2"/>
      <c r="T610" s="2"/>
      <c r="U610" s="2"/>
      <c r="V610" s="2"/>
    </row>
    <row r="611" spans="1:22" ht="17.25" outlineLevel="1" thickBot="1" x14ac:dyDescent="0.3">
      <c r="A611" s="1056" t="s">
        <v>629</v>
      </c>
      <c r="B611" s="1057"/>
      <c r="C611" s="150"/>
      <c r="D611" s="149">
        <f>SUM(D600,D596,D592,D588,D585,D604,D602,D605)</f>
        <v>90032786.179999992</v>
      </c>
      <c r="E611" s="150"/>
      <c r="F611" s="150"/>
      <c r="G611" s="426">
        <f>SUM(G600,G596,G592,G588,G585,G604,G602,G605,)</f>
        <v>90640457.081399977</v>
      </c>
      <c r="H611" s="150"/>
      <c r="I611" s="449"/>
      <c r="J611" s="149">
        <f>SUM(J600,J596,J592,J588,J585,J604,J605,J602)</f>
        <v>38808488.109999992</v>
      </c>
      <c r="K611" s="149">
        <f>SUM(K600,K596,K592,K588,K585,K604,K605,K602)</f>
        <v>40037966.109999992</v>
      </c>
      <c r="L611" s="154"/>
      <c r="M611" s="149"/>
      <c r="N611" s="587">
        <f>AVERAGE(N600,N596,N592,N588,N585)</f>
        <v>0.73499999999999999</v>
      </c>
      <c r="O611" s="588"/>
      <c r="P611" s="176"/>
      <c r="Q611" s="177"/>
      <c r="R611" s="132"/>
    </row>
    <row r="612" spans="1:22" s="5" customFormat="1" ht="23.25" customHeight="1" thickBot="1" x14ac:dyDescent="0.3">
      <c r="A612" s="1034" t="s">
        <v>637</v>
      </c>
      <c r="B612" s="1035"/>
      <c r="C612" s="1035"/>
      <c r="D612" s="1035"/>
      <c r="E612" s="1035"/>
      <c r="F612" s="1035"/>
      <c r="G612" s="1035"/>
      <c r="H612" s="1035"/>
      <c r="I612" s="1035"/>
      <c r="J612" s="1035"/>
      <c r="K612" s="1035"/>
      <c r="L612" s="1035"/>
      <c r="M612" s="1035"/>
      <c r="N612" s="1035"/>
      <c r="O612" s="1035"/>
      <c r="P612" s="176"/>
      <c r="Q612" s="177"/>
      <c r="R612" s="132"/>
      <c r="S612" s="18"/>
      <c r="T612" s="18"/>
      <c r="U612" s="19"/>
      <c r="V612" s="19"/>
    </row>
    <row r="613" spans="1:22" s="5" customFormat="1" ht="33" x14ac:dyDescent="0.25">
      <c r="A613" s="1062">
        <v>1</v>
      </c>
      <c r="B613" s="1061" t="s">
        <v>157</v>
      </c>
      <c r="C613" s="273" t="s">
        <v>34</v>
      </c>
      <c r="D613" s="275">
        <v>10814626.539999999</v>
      </c>
      <c r="E613" s="273" t="s">
        <v>771</v>
      </c>
      <c r="F613" s="197" t="s">
        <v>770</v>
      </c>
      <c r="G613" s="486">
        <v>12300000</v>
      </c>
      <c r="H613" s="212">
        <v>42515</v>
      </c>
      <c r="I613" s="212">
        <v>42494</v>
      </c>
      <c r="J613" s="275">
        <v>10814626.539999999</v>
      </c>
      <c r="K613" s="275">
        <v>10814626.539999999</v>
      </c>
      <c r="L613" s="212"/>
      <c r="M613" s="275">
        <f>J613-D613</f>
        <v>0</v>
      </c>
      <c r="N613" s="488">
        <v>1</v>
      </c>
      <c r="O613" s="550"/>
      <c r="P613" s="176"/>
      <c r="Q613" s="177"/>
      <c r="R613" s="132"/>
      <c r="S613" s="18"/>
      <c r="T613" s="18"/>
      <c r="U613" s="19"/>
      <c r="V613" s="19"/>
    </row>
    <row r="614" spans="1:22" ht="33.75" customHeight="1" outlineLevel="1" x14ac:dyDescent="0.25">
      <c r="A614" s="1028"/>
      <c r="B614" s="1026"/>
      <c r="C614" s="294" t="s">
        <v>37</v>
      </c>
      <c r="D614" s="180">
        <v>85004.544999999998</v>
      </c>
      <c r="E614" s="181" t="s">
        <v>562</v>
      </c>
      <c r="F614" s="181" t="s">
        <v>548</v>
      </c>
      <c r="G614" s="182">
        <f>72037.75*1.18</f>
        <v>85004.544999999998</v>
      </c>
      <c r="H614" s="183">
        <v>42379</v>
      </c>
      <c r="I614" s="183">
        <v>42349</v>
      </c>
      <c r="J614" s="184">
        <v>85004.549999999988</v>
      </c>
      <c r="K614" s="184">
        <v>85004.55</v>
      </c>
      <c r="L614" s="183"/>
      <c r="M614" s="184">
        <f>J614-D614</f>
        <v>4.9999999901046976E-3</v>
      </c>
      <c r="N614" s="202"/>
      <c r="O614" s="283" t="s">
        <v>705</v>
      </c>
      <c r="P614" s="176"/>
      <c r="Q614" s="177"/>
      <c r="R614" s="132"/>
    </row>
    <row r="615" spans="1:22" ht="17.25" outlineLevel="1" thickBot="1" x14ac:dyDescent="0.3">
      <c r="A615" s="1006" t="s">
        <v>628</v>
      </c>
      <c r="B615" s="1007"/>
      <c r="C615" s="364"/>
      <c r="D615" s="365">
        <f>SUM(D613:D614)</f>
        <v>10899631.084999999</v>
      </c>
      <c r="E615" s="239"/>
      <c r="F615" s="239"/>
      <c r="G615" s="366">
        <f>SUM(G613:G614)</f>
        <v>12385004.545</v>
      </c>
      <c r="H615" s="239"/>
      <c r="I615" s="321"/>
      <c r="J615" s="365">
        <f>SUM(J613:J614)</f>
        <v>10899631.09</v>
      </c>
      <c r="K615" s="365">
        <f>SUM(K613:K614)</f>
        <v>10899631.09</v>
      </c>
      <c r="L615" s="367"/>
      <c r="M615" s="365"/>
      <c r="N615" s="368">
        <f>AVERAGE(N613:N614)</f>
        <v>1</v>
      </c>
      <c r="O615" s="369"/>
      <c r="P615" s="176"/>
      <c r="Q615" s="177"/>
      <c r="R615" s="132"/>
    </row>
    <row r="616" spans="1:22" s="5" customFormat="1" ht="33" x14ac:dyDescent="0.25">
      <c r="A616" s="1027">
        <v>2</v>
      </c>
      <c r="B616" s="1025" t="s">
        <v>168</v>
      </c>
      <c r="C616" s="197" t="s">
        <v>500</v>
      </c>
      <c r="D616" s="162">
        <v>4927114</v>
      </c>
      <c r="E616" s="197" t="s">
        <v>851</v>
      </c>
      <c r="F616" s="197" t="s">
        <v>850</v>
      </c>
      <c r="G616" s="353">
        <v>5211009.63</v>
      </c>
      <c r="H616" s="161">
        <v>42562</v>
      </c>
      <c r="I616" s="161">
        <v>42578</v>
      </c>
      <c r="J616" s="162">
        <v>4927114</v>
      </c>
      <c r="K616" s="162">
        <v>4927114</v>
      </c>
      <c r="L616" s="161"/>
      <c r="M616" s="162"/>
      <c r="N616" s="200">
        <v>1</v>
      </c>
      <c r="O616" s="370"/>
      <c r="P616" s="176"/>
      <c r="Q616" s="177"/>
      <c r="R616" s="132"/>
      <c r="S616" s="18"/>
      <c r="T616" s="18"/>
      <c r="U616" s="19"/>
      <c r="V616" s="19"/>
    </row>
    <row r="617" spans="1:22" ht="39.75" customHeight="1" outlineLevel="1" x14ac:dyDescent="0.25">
      <c r="A617" s="1028"/>
      <c r="B617" s="1026"/>
      <c r="C617" s="294" t="s">
        <v>37</v>
      </c>
      <c r="D617" s="180">
        <v>98706.929199999999</v>
      </c>
      <c r="E617" s="181" t="s">
        <v>561</v>
      </c>
      <c r="F617" s="181" t="s">
        <v>548</v>
      </c>
      <c r="G617" s="182">
        <f>83649.94*1.18</f>
        <v>98706.929199999999</v>
      </c>
      <c r="H617" s="183">
        <v>42379</v>
      </c>
      <c r="I617" s="183">
        <v>42419</v>
      </c>
      <c r="J617" s="184">
        <v>98706.93</v>
      </c>
      <c r="K617" s="184">
        <v>98706.930000000008</v>
      </c>
      <c r="L617" s="183"/>
      <c r="M617" s="184">
        <f>J617-D617</f>
        <v>7.9999999434221536E-4</v>
      </c>
      <c r="N617" s="202"/>
      <c r="O617" s="283" t="s">
        <v>705</v>
      </c>
      <c r="P617" s="176"/>
      <c r="Q617" s="177"/>
      <c r="R617" s="132"/>
    </row>
    <row r="618" spans="1:22" ht="17.25" outlineLevel="1" thickBot="1" x14ac:dyDescent="0.3">
      <c r="A618" s="1006" t="s">
        <v>628</v>
      </c>
      <c r="B618" s="1007"/>
      <c r="C618" s="364"/>
      <c r="D618" s="365">
        <f>SUM(D616:D617)</f>
        <v>5025820.9292000001</v>
      </c>
      <c r="E618" s="188"/>
      <c r="F618" s="188"/>
      <c r="G618" s="366">
        <f>SUM(G616:G617)</f>
        <v>5309716.5592</v>
      </c>
      <c r="H618" s="188"/>
      <c r="I618" s="190"/>
      <c r="J618" s="365">
        <f>SUM(J616:J617)</f>
        <v>5025820.93</v>
      </c>
      <c r="K618" s="365">
        <f>SUM(K616:K617)</f>
        <v>5025820.93</v>
      </c>
      <c r="L618" s="367"/>
      <c r="M618" s="365"/>
      <c r="N618" s="368">
        <f>AVERAGE(N616:N617)</f>
        <v>1</v>
      </c>
      <c r="O618" s="369"/>
      <c r="P618" s="176"/>
      <c r="Q618" s="177"/>
      <c r="R618" s="168"/>
      <c r="S618" s="19"/>
      <c r="T618" s="19"/>
    </row>
    <row r="619" spans="1:22" s="5" customFormat="1" ht="33" x14ac:dyDescent="0.25">
      <c r="A619" s="1027">
        <v>3</v>
      </c>
      <c r="B619" s="1025" t="s">
        <v>169</v>
      </c>
      <c r="C619" s="197" t="s">
        <v>500</v>
      </c>
      <c r="D619" s="162">
        <v>4980837</v>
      </c>
      <c r="E619" s="197" t="s">
        <v>851</v>
      </c>
      <c r="F619" s="197" t="s">
        <v>850</v>
      </c>
      <c r="G619" s="353">
        <v>5288990.37</v>
      </c>
      <c r="H619" s="161">
        <v>42562</v>
      </c>
      <c r="I619" s="161">
        <v>42578</v>
      </c>
      <c r="J619" s="162">
        <v>4980837</v>
      </c>
      <c r="K619" s="162">
        <v>4980837</v>
      </c>
      <c r="L619" s="161"/>
      <c r="M619" s="162"/>
      <c r="N619" s="200">
        <v>1</v>
      </c>
      <c r="O619" s="370"/>
      <c r="P619" s="176"/>
      <c r="Q619" s="177"/>
      <c r="R619" s="132"/>
      <c r="S619" s="18"/>
      <c r="T619" s="18"/>
      <c r="U619" s="19"/>
      <c r="V619" s="19"/>
    </row>
    <row r="620" spans="1:22" ht="39.75" customHeight="1" outlineLevel="1" x14ac:dyDescent="0.25">
      <c r="A620" s="1028"/>
      <c r="B620" s="1026"/>
      <c r="C620" s="294" t="s">
        <v>37</v>
      </c>
      <c r="D620" s="180">
        <v>97323.509000000005</v>
      </c>
      <c r="E620" s="181" t="s">
        <v>561</v>
      </c>
      <c r="F620" s="181" t="s">
        <v>548</v>
      </c>
      <c r="G620" s="182">
        <f>82477.55*1.18</f>
        <v>97323.509000000005</v>
      </c>
      <c r="H620" s="183">
        <v>42379</v>
      </c>
      <c r="I620" s="183">
        <v>42419</v>
      </c>
      <c r="J620" s="184">
        <v>97323.51</v>
      </c>
      <c r="K620" s="184">
        <v>97323.510000000009</v>
      </c>
      <c r="L620" s="183"/>
      <c r="M620" s="184">
        <f>J620-D620</f>
        <v>9.9999998928979039E-4</v>
      </c>
      <c r="N620" s="202"/>
      <c r="O620" s="283" t="s">
        <v>705</v>
      </c>
      <c r="P620" s="176"/>
      <c r="Q620" s="177"/>
      <c r="R620" s="132"/>
    </row>
    <row r="621" spans="1:22" ht="17.25" outlineLevel="1" thickBot="1" x14ac:dyDescent="0.3">
      <c r="A621" s="1006" t="s">
        <v>628</v>
      </c>
      <c r="B621" s="1007"/>
      <c r="C621" s="364"/>
      <c r="D621" s="365">
        <f>SUM(D619:D620)</f>
        <v>5078160.5089999996</v>
      </c>
      <c r="E621" s="188"/>
      <c r="F621" s="188"/>
      <c r="G621" s="366">
        <f>SUM(G619:G620)</f>
        <v>5386313.8789999997</v>
      </c>
      <c r="H621" s="188"/>
      <c r="I621" s="190"/>
      <c r="J621" s="365">
        <f>SUM(J619:J620)</f>
        <v>5078160.51</v>
      </c>
      <c r="K621" s="365">
        <f>SUM(K619:K620)</f>
        <v>5078160.51</v>
      </c>
      <c r="L621" s="367"/>
      <c r="M621" s="365"/>
      <c r="N621" s="368">
        <f>AVERAGE(N619:N620)</f>
        <v>1</v>
      </c>
      <c r="O621" s="369"/>
      <c r="P621" s="176"/>
      <c r="Q621" s="177"/>
      <c r="R621" s="168"/>
      <c r="S621" s="19"/>
      <c r="T621" s="19"/>
    </row>
    <row r="622" spans="1:22" s="5" customFormat="1" ht="33" x14ac:dyDescent="0.25">
      <c r="A622" s="1027">
        <v>4</v>
      </c>
      <c r="B622" s="1025" t="s">
        <v>158</v>
      </c>
      <c r="C622" s="371" t="s">
        <v>501</v>
      </c>
      <c r="D622" s="372">
        <v>21950000</v>
      </c>
      <c r="E622" s="220" t="s">
        <v>1173</v>
      </c>
      <c r="F622" s="220" t="s">
        <v>670</v>
      </c>
      <c r="G622" s="463">
        <v>20857079.07</v>
      </c>
      <c r="H622" s="223">
        <v>42783</v>
      </c>
      <c r="I622" s="375"/>
      <c r="J622" s="221"/>
      <c r="K622" s="221"/>
      <c r="L622" s="223"/>
      <c r="M622" s="221"/>
      <c r="N622" s="376">
        <v>0</v>
      </c>
      <c r="O622" s="370"/>
      <c r="P622" s="176">
        <v>2017</v>
      </c>
      <c r="Q622" s="177"/>
      <c r="R622" s="132"/>
      <c r="S622" s="18"/>
      <c r="T622" s="18"/>
      <c r="U622" s="19"/>
      <c r="V622" s="19"/>
    </row>
    <row r="623" spans="1:22" ht="39" customHeight="1" outlineLevel="1" x14ac:dyDescent="0.25">
      <c r="A623" s="1028"/>
      <c r="B623" s="1026"/>
      <c r="C623" s="294" t="s">
        <v>37</v>
      </c>
      <c r="D623" s="180">
        <v>104671.80559999999</v>
      </c>
      <c r="E623" s="181" t="s">
        <v>562</v>
      </c>
      <c r="F623" s="181" t="s">
        <v>548</v>
      </c>
      <c r="G623" s="182">
        <f>88704.92*1.18</f>
        <v>104671.80559999999</v>
      </c>
      <c r="H623" s="183">
        <v>42379</v>
      </c>
      <c r="I623" s="183">
        <v>42349</v>
      </c>
      <c r="J623" s="184">
        <v>104671.81</v>
      </c>
      <c r="K623" s="184">
        <v>104671.81</v>
      </c>
      <c r="L623" s="183"/>
      <c r="M623" s="184">
        <f>J623-D623</f>
        <v>4.4000000052619725E-3</v>
      </c>
      <c r="N623" s="202"/>
      <c r="O623" s="283" t="s">
        <v>705</v>
      </c>
      <c r="P623" s="176"/>
      <c r="Q623" s="177"/>
      <c r="R623" s="132"/>
    </row>
    <row r="624" spans="1:22" ht="17.25" outlineLevel="1" thickBot="1" x14ac:dyDescent="0.3">
      <c r="A624" s="1006" t="s">
        <v>628</v>
      </c>
      <c r="B624" s="1007"/>
      <c r="C624" s="364"/>
      <c r="D624" s="365">
        <f>SUM(D622:D623)</f>
        <v>22054671.805599999</v>
      </c>
      <c r="E624" s="239"/>
      <c r="F624" s="239"/>
      <c r="G624" s="366">
        <f>SUM(G622:G623)</f>
        <v>20961750.875599999</v>
      </c>
      <c r="H624" s="239"/>
      <c r="I624" s="321"/>
      <c r="J624" s="365">
        <f>SUM(J622:J623)</f>
        <v>104671.81</v>
      </c>
      <c r="K624" s="365">
        <f>SUM(K622:K623)</f>
        <v>104671.81</v>
      </c>
      <c r="L624" s="367"/>
      <c r="M624" s="365"/>
      <c r="N624" s="368">
        <f>AVERAGE(N622:N623)</f>
        <v>0</v>
      </c>
      <c r="O624" s="369"/>
      <c r="P624" s="176"/>
      <c r="Q624" s="177"/>
      <c r="R624" s="132"/>
    </row>
    <row r="625" spans="1:22" s="5" customFormat="1" ht="33" x14ac:dyDescent="0.25">
      <c r="A625" s="1027">
        <v>5</v>
      </c>
      <c r="B625" s="1025" t="s">
        <v>159</v>
      </c>
      <c r="C625" s="197" t="s">
        <v>34</v>
      </c>
      <c r="D625" s="162">
        <v>6203956.2000000002</v>
      </c>
      <c r="E625" s="197" t="s">
        <v>769</v>
      </c>
      <c r="F625" s="197" t="s">
        <v>770</v>
      </c>
      <c r="G625" s="353">
        <v>7345328.3499999996</v>
      </c>
      <c r="H625" s="161">
        <v>42540</v>
      </c>
      <c r="I625" s="161">
        <v>42468</v>
      </c>
      <c r="J625" s="162">
        <v>6203956.1999999993</v>
      </c>
      <c r="K625" s="162">
        <v>6203956.1999999993</v>
      </c>
      <c r="L625" s="161"/>
      <c r="M625" s="275">
        <f>J625-D625</f>
        <v>0</v>
      </c>
      <c r="N625" s="200">
        <v>1</v>
      </c>
      <c r="O625" s="382"/>
      <c r="P625" s="176"/>
      <c r="Q625" s="177"/>
      <c r="R625" s="132"/>
      <c r="S625" s="18"/>
      <c r="T625" s="18"/>
      <c r="U625" s="19"/>
      <c r="V625" s="19"/>
    </row>
    <row r="626" spans="1:22" s="53" customFormat="1" ht="37.5" customHeight="1" x14ac:dyDescent="0.25">
      <c r="A626" s="1062"/>
      <c r="B626" s="1061"/>
      <c r="C626" s="294" t="s">
        <v>37</v>
      </c>
      <c r="D626" s="589">
        <v>98318.31</v>
      </c>
      <c r="E626" s="181" t="s">
        <v>562</v>
      </c>
      <c r="F626" s="181" t="s">
        <v>548</v>
      </c>
      <c r="G626" s="590">
        <f>83320.6*1.18</f>
        <v>98318.308000000005</v>
      </c>
      <c r="H626" s="183">
        <v>42379</v>
      </c>
      <c r="I626" s="183">
        <v>42349</v>
      </c>
      <c r="J626" s="589">
        <v>98318.31</v>
      </c>
      <c r="K626" s="589">
        <v>98318.31</v>
      </c>
      <c r="L626" s="591"/>
      <c r="M626" s="184">
        <f>J626-D626</f>
        <v>0</v>
      </c>
      <c r="N626" s="592"/>
      <c r="O626" s="283"/>
      <c r="P626" s="176"/>
      <c r="Q626" s="177"/>
      <c r="R626" s="132"/>
      <c r="S626" s="18"/>
      <c r="T626" s="18"/>
      <c r="U626" s="19"/>
      <c r="V626" s="19"/>
    </row>
    <row r="627" spans="1:22" ht="33" outlineLevel="1" x14ac:dyDescent="0.25">
      <c r="A627" s="1028"/>
      <c r="B627" s="1026"/>
      <c r="C627" s="253" t="s">
        <v>500</v>
      </c>
      <c r="D627" s="163">
        <v>5366892.4800000004</v>
      </c>
      <c r="E627" s="273" t="s">
        <v>797</v>
      </c>
      <c r="F627" s="253" t="s">
        <v>768</v>
      </c>
      <c r="G627" s="354">
        <v>4981850</v>
      </c>
      <c r="H627" s="210">
        <v>42536</v>
      </c>
      <c r="I627" s="210">
        <v>42530</v>
      </c>
      <c r="J627" s="163">
        <v>5366892.4800000004</v>
      </c>
      <c r="K627" s="163">
        <v>5366892.4800000004</v>
      </c>
      <c r="L627" s="210"/>
      <c r="M627" s="275">
        <f>J627-D627</f>
        <v>0</v>
      </c>
      <c r="N627" s="213">
        <v>1</v>
      </c>
      <c r="O627" s="531"/>
      <c r="P627" s="176"/>
      <c r="Q627" s="177"/>
      <c r="R627" s="168"/>
      <c r="S627" s="19"/>
      <c r="T627" s="19"/>
    </row>
    <row r="628" spans="1:22" ht="36" customHeight="1" outlineLevel="1" x14ac:dyDescent="0.25">
      <c r="A628" s="1028"/>
      <c r="B628" s="1026"/>
      <c r="C628" s="294" t="s">
        <v>37</v>
      </c>
      <c r="D628" s="180">
        <v>110291.43</v>
      </c>
      <c r="E628" s="181" t="s">
        <v>561</v>
      </c>
      <c r="F628" s="181" t="s">
        <v>548</v>
      </c>
      <c r="G628" s="182">
        <f>93467.31*1.18</f>
        <v>110291.4258</v>
      </c>
      <c r="H628" s="183">
        <v>42379</v>
      </c>
      <c r="I628" s="183">
        <v>42419</v>
      </c>
      <c r="J628" s="184">
        <v>110291.43</v>
      </c>
      <c r="K628" s="184">
        <v>110291.43</v>
      </c>
      <c r="L628" s="183"/>
      <c r="M628" s="184">
        <f>J628-D628</f>
        <v>0</v>
      </c>
      <c r="N628" s="202"/>
      <c r="O628" s="283" t="s">
        <v>705</v>
      </c>
      <c r="P628" s="176"/>
      <c r="Q628" s="177"/>
      <c r="R628" s="132"/>
    </row>
    <row r="629" spans="1:22" ht="17.25" outlineLevel="1" thickBot="1" x14ac:dyDescent="0.3">
      <c r="A629" s="1010" t="s">
        <v>628</v>
      </c>
      <c r="B629" s="1011"/>
      <c r="C629" s="377"/>
      <c r="D629" s="378">
        <f>SUM(D625:D628)</f>
        <v>11779458.42</v>
      </c>
      <c r="E629" s="247"/>
      <c r="F629" s="247"/>
      <c r="G629" s="379">
        <f>SUM(G625:G628)</f>
        <v>12535788.083799999</v>
      </c>
      <c r="H629" s="247"/>
      <c r="I629" s="277"/>
      <c r="J629" s="378">
        <f>SUM(J625:J628)</f>
        <v>11779458.419999998</v>
      </c>
      <c r="K629" s="378">
        <f>SUM(K625:K628)</f>
        <v>11779458.419999998</v>
      </c>
      <c r="L629" s="380"/>
      <c r="M629" s="378"/>
      <c r="N629" s="395">
        <f>AVERAGE(N625:N628)</f>
        <v>1</v>
      </c>
      <c r="O629" s="381"/>
      <c r="P629" s="176"/>
      <c r="Q629" s="177"/>
      <c r="R629" s="132"/>
    </row>
    <row r="630" spans="1:22" s="5" customFormat="1" ht="33" x14ac:dyDescent="0.25">
      <c r="A630" s="1027">
        <v>6</v>
      </c>
      <c r="B630" s="1025" t="s">
        <v>160</v>
      </c>
      <c r="C630" s="197" t="s">
        <v>500</v>
      </c>
      <c r="D630" s="162">
        <v>5286802.4400000004</v>
      </c>
      <c r="E630" s="197" t="s">
        <v>772</v>
      </c>
      <c r="F630" s="197" t="s">
        <v>768</v>
      </c>
      <c r="G630" s="353">
        <v>5618606.5599999996</v>
      </c>
      <c r="H630" s="161">
        <v>42580</v>
      </c>
      <c r="I630" s="161">
        <v>42572</v>
      </c>
      <c r="J630" s="162">
        <v>5286802.4400000004</v>
      </c>
      <c r="K630" s="162">
        <v>5286802.4400000004</v>
      </c>
      <c r="L630" s="161"/>
      <c r="M630" s="162"/>
      <c r="N630" s="200">
        <v>1</v>
      </c>
      <c r="O630" s="370"/>
      <c r="P630" s="176"/>
      <c r="Q630" s="177"/>
      <c r="R630" s="132"/>
      <c r="S630" s="18"/>
      <c r="T630" s="18"/>
      <c r="U630" s="19"/>
      <c r="V630" s="19"/>
    </row>
    <row r="631" spans="1:22" ht="35.25" customHeight="1" outlineLevel="1" x14ac:dyDescent="0.25">
      <c r="A631" s="1028"/>
      <c r="B631" s="1026"/>
      <c r="C631" s="294" t="s">
        <v>37</v>
      </c>
      <c r="D631" s="180">
        <v>110289.50239999998</v>
      </c>
      <c r="E631" s="181" t="s">
        <v>562</v>
      </c>
      <c r="F631" s="181" t="s">
        <v>548</v>
      </c>
      <c r="G631" s="182">
        <f>93465.68*1.18</f>
        <v>110289.50239999998</v>
      </c>
      <c r="H631" s="183">
        <v>42379</v>
      </c>
      <c r="I631" s="183">
        <v>42349</v>
      </c>
      <c r="J631" s="184">
        <v>110289.5</v>
      </c>
      <c r="K631" s="184">
        <v>110289.5</v>
      </c>
      <c r="L631" s="183"/>
      <c r="M631" s="184">
        <f>J631-D631</f>
        <v>-2.3999999830266461E-3</v>
      </c>
      <c r="N631" s="202"/>
      <c r="O631" s="283" t="s">
        <v>705</v>
      </c>
      <c r="P631" s="176"/>
      <c r="Q631" s="177"/>
      <c r="R631" s="132"/>
    </row>
    <row r="632" spans="1:22" ht="17.25" outlineLevel="1" thickBot="1" x14ac:dyDescent="0.3">
      <c r="A632" s="1006" t="s">
        <v>628</v>
      </c>
      <c r="B632" s="1007"/>
      <c r="C632" s="364"/>
      <c r="D632" s="365">
        <f>SUM(D630:D631)</f>
        <v>5397091.9424000001</v>
      </c>
      <c r="E632" s="239"/>
      <c r="F632" s="239"/>
      <c r="G632" s="366">
        <f>SUM(G630:G631)</f>
        <v>5728896.0623999992</v>
      </c>
      <c r="H632" s="239"/>
      <c r="I632" s="321"/>
      <c r="J632" s="365">
        <f>SUM(J630:J631)</f>
        <v>5397091.9400000004</v>
      </c>
      <c r="K632" s="365">
        <f>SUM(K630:K631)</f>
        <v>5397091.9400000004</v>
      </c>
      <c r="L632" s="367"/>
      <c r="M632" s="365"/>
      <c r="N632" s="368">
        <f>AVERAGE(N630:N631)</f>
        <v>1</v>
      </c>
      <c r="O632" s="369"/>
      <c r="P632" s="176"/>
      <c r="Q632" s="177"/>
      <c r="R632" s="132"/>
    </row>
    <row r="633" spans="1:22" s="5" customFormat="1" ht="33" x14ac:dyDescent="0.25">
      <c r="A633" s="1027">
        <v>7</v>
      </c>
      <c r="B633" s="1025" t="s">
        <v>161</v>
      </c>
      <c r="C633" s="197" t="s">
        <v>500</v>
      </c>
      <c r="D633" s="162">
        <v>5110773.3899999997</v>
      </c>
      <c r="E633" s="197" t="s">
        <v>772</v>
      </c>
      <c r="F633" s="197" t="s">
        <v>768</v>
      </c>
      <c r="G633" s="353">
        <v>5589192.4500000002</v>
      </c>
      <c r="H633" s="161">
        <v>42580</v>
      </c>
      <c r="I633" s="161">
        <v>42572</v>
      </c>
      <c r="J633" s="162">
        <v>5110773.3899999997</v>
      </c>
      <c r="K633" s="162">
        <v>5110773.3899999997</v>
      </c>
      <c r="L633" s="198"/>
      <c r="M633" s="199"/>
      <c r="N633" s="200">
        <v>1</v>
      </c>
      <c r="O633" s="370"/>
      <c r="P633" s="176"/>
      <c r="Q633" s="177"/>
      <c r="R633" s="168"/>
      <c r="S633" s="19"/>
      <c r="T633" s="19"/>
      <c r="U633" s="19"/>
      <c r="V633" s="19"/>
    </row>
    <row r="634" spans="1:22" ht="37.5" customHeight="1" outlineLevel="1" x14ac:dyDescent="0.25">
      <c r="A634" s="1028"/>
      <c r="B634" s="1026"/>
      <c r="C634" s="294" t="s">
        <v>37</v>
      </c>
      <c r="D634" s="180">
        <v>110289.50239999998</v>
      </c>
      <c r="E634" s="181" t="s">
        <v>562</v>
      </c>
      <c r="F634" s="181" t="s">
        <v>548</v>
      </c>
      <c r="G634" s="182">
        <f>93465.68*1.18</f>
        <v>110289.50239999998</v>
      </c>
      <c r="H634" s="183">
        <v>42379</v>
      </c>
      <c r="I634" s="183">
        <v>42349</v>
      </c>
      <c r="J634" s="184">
        <v>110289.5</v>
      </c>
      <c r="K634" s="184">
        <v>110289.5</v>
      </c>
      <c r="L634" s="183"/>
      <c r="M634" s="184">
        <f>J634-D634</f>
        <v>-2.3999999830266461E-3</v>
      </c>
      <c r="N634" s="202"/>
      <c r="O634" s="283" t="s">
        <v>705</v>
      </c>
      <c r="P634" s="176"/>
      <c r="Q634" s="177"/>
      <c r="R634" s="132"/>
    </row>
    <row r="635" spans="1:22" ht="17.25" outlineLevel="1" thickBot="1" x14ac:dyDescent="0.3">
      <c r="A635" s="1006" t="s">
        <v>628</v>
      </c>
      <c r="B635" s="1007"/>
      <c r="C635" s="364"/>
      <c r="D635" s="365">
        <f>SUM(D633:D634)</f>
        <v>5221062.8923999993</v>
      </c>
      <c r="E635" s="239"/>
      <c r="F635" s="239"/>
      <c r="G635" s="366">
        <f>SUM(G633:G634)</f>
        <v>5699481.9523999998</v>
      </c>
      <c r="H635" s="239"/>
      <c r="I635" s="321"/>
      <c r="J635" s="365">
        <f>SUM(J633:J634)</f>
        <v>5221062.8899999997</v>
      </c>
      <c r="K635" s="365">
        <f>SUM(K633:K634)</f>
        <v>5221062.8899999997</v>
      </c>
      <c r="L635" s="367"/>
      <c r="M635" s="365"/>
      <c r="N635" s="368">
        <f>AVERAGE(N633:N634)</f>
        <v>1</v>
      </c>
      <c r="O635" s="369"/>
      <c r="P635" s="176"/>
      <c r="Q635" s="177"/>
      <c r="R635" s="132"/>
    </row>
    <row r="636" spans="1:22" s="5" customFormat="1" ht="33.75" thickBot="1" x14ac:dyDescent="0.3">
      <c r="A636" s="1027">
        <v>8</v>
      </c>
      <c r="B636" s="1025" t="s">
        <v>162</v>
      </c>
      <c r="C636" s="197" t="s">
        <v>500</v>
      </c>
      <c r="D636" s="162">
        <v>3183108.15</v>
      </c>
      <c r="E636" s="197" t="s">
        <v>767</v>
      </c>
      <c r="F636" s="197" t="s">
        <v>768</v>
      </c>
      <c r="G636" s="353">
        <v>3501922.16</v>
      </c>
      <c r="H636" s="161">
        <v>42580</v>
      </c>
      <c r="I636" s="161">
        <v>42531</v>
      </c>
      <c r="J636" s="162">
        <v>3183108.1500000004</v>
      </c>
      <c r="K636" s="162">
        <v>3183108.1500000004</v>
      </c>
      <c r="L636" s="161"/>
      <c r="M636" s="275">
        <f>J636-D636</f>
        <v>0</v>
      </c>
      <c r="N636" s="200">
        <v>1</v>
      </c>
      <c r="O636" s="382"/>
      <c r="P636" s="176"/>
      <c r="Q636" s="177"/>
      <c r="R636" s="168"/>
      <c r="S636" s="19"/>
      <c r="T636" s="19"/>
      <c r="U636" s="19"/>
      <c r="V636" s="19"/>
    </row>
    <row r="637" spans="1:22" ht="33" outlineLevel="1" x14ac:dyDescent="0.25">
      <c r="A637" s="1028"/>
      <c r="B637" s="1026"/>
      <c r="C637" s="337" t="s">
        <v>501</v>
      </c>
      <c r="D637" s="303">
        <v>13890000</v>
      </c>
      <c r="E637" s="220" t="s">
        <v>1173</v>
      </c>
      <c r="F637" s="220" t="s">
        <v>670</v>
      </c>
      <c r="G637" s="463">
        <v>12833534.949999999</v>
      </c>
      <c r="H637" s="223">
        <v>42758</v>
      </c>
      <c r="I637" s="172"/>
      <c r="J637" s="173"/>
      <c r="K637" s="173"/>
      <c r="L637" s="171"/>
      <c r="M637" s="173"/>
      <c r="N637" s="460">
        <v>0</v>
      </c>
      <c r="O637" s="301"/>
      <c r="P637" s="176">
        <v>2017</v>
      </c>
      <c r="Q637" s="177"/>
      <c r="R637" s="132"/>
    </row>
    <row r="638" spans="1:22" ht="49.5" outlineLevel="1" x14ac:dyDescent="0.25">
      <c r="A638" s="1028"/>
      <c r="B638" s="1026"/>
      <c r="C638" s="294" t="s">
        <v>37</v>
      </c>
      <c r="D638" s="180">
        <v>179792.95999999996</v>
      </c>
      <c r="E638" s="181" t="s">
        <v>562</v>
      </c>
      <c r="F638" s="181" t="s">
        <v>548</v>
      </c>
      <c r="G638" s="182">
        <f>152366.92*1.18</f>
        <v>179792.9656</v>
      </c>
      <c r="H638" s="183">
        <v>42379</v>
      </c>
      <c r="I638" s="183">
        <v>42349</v>
      </c>
      <c r="J638" s="184">
        <v>179792.95999999996</v>
      </c>
      <c r="K638" s="184">
        <v>179792.96000000002</v>
      </c>
      <c r="L638" s="183"/>
      <c r="M638" s="184">
        <f>J638-D638</f>
        <v>0</v>
      </c>
      <c r="N638" s="202"/>
      <c r="O638" s="283" t="s">
        <v>705</v>
      </c>
      <c r="P638" s="176"/>
      <c r="Q638" s="177"/>
      <c r="R638" s="132"/>
    </row>
    <row r="639" spans="1:22" ht="17.25" outlineLevel="1" thickBot="1" x14ac:dyDescent="0.3">
      <c r="A639" s="1006" t="s">
        <v>628</v>
      </c>
      <c r="B639" s="1007"/>
      <c r="C639" s="364"/>
      <c r="D639" s="378">
        <f>SUM(D636:D638)</f>
        <v>17252901.109999999</v>
      </c>
      <c r="E639" s="239"/>
      <c r="F639" s="239"/>
      <c r="G639" s="379">
        <f>SUM(G636:G638)</f>
        <v>16515250.0756</v>
      </c>
      <c r="H639" s="239"/>
      <c r="I639" s="321"/>
      <c r="J639" s="378">
        <f>SUM(J636:J638)</f>
        <v>3362901.1100000003</v>
      </c>
      <c r="K639" s="378">
        <f>SUM(K636:K638)</f>
        <v>3362901.1100000003</v>
      </c>
      <c r="L639" s="380"/>
      <c r="M639" s="378"/>
      <c r="N639" s="395">
        <f>AVERAGE(N636:N638)</f>
        <v>0.5</v>
      </c>
      <c r="O639" s="369"/>
      <c r="P639" s="176"/>
      <c r="Q639" s="177"/>
      <c r="R639" s="132"/>
    </row>
    <row r="640" spans="1:22" s="5" customFormat="1" ht="33" x14ac:dyDescent="0.25">
      <c r="A640" s="1027">
        <v>9</v>
      </c>
      <c r="B640" s="1025" t="s">
        <v>172</v>
      </c>
      <c r="C640" s="197" t="s">
        <v>500</v>
      </c>
      <c r="D640" s="162">
        <v>4955560</v>
      </c>
      <c r="E640" s="197" t="s">
        <v>849</v>
      </c>
      <c r="F640" s="197" t="s">
        <v>850</v>
      </c>
      <c r="G640" s="353">
        <v>5238079.6500000004</v>
      </c>
      <c r="H640" s="161">
        <v>42562</v>
      </c>
      <c r="I640" s="161">
        <v>42578</v>
      </c>
      <c r="J640" s="162">
        <v>4955560</v>
      </c>
      <c r="K640" s="162">
        <v>4955560</v>
      </c>
      <c r="L640" s="198"/>
      <c r="M640" s="199"/>
      <c r="N640" s="200">
        <v>1</v>
      </c>
      <c r="O640" s="370"/>
      <c r="P640" s="176"/>
      <c r="Q640" s="177"/>
      <c r="R640" s="168"/>
      <c r="S640" s="19"/>
      <c r="T640" s="19"/>
      <c r="U640" s="19"/>
      <c r="V640" s="19"/>
    </row>
    <row r="641" spans="1:22" ht="39" customHeight="1" outlineLevel="1" x14ac:dyDescent="0.25">
      <c r="A641" s="1028"/>
      <c r="B641" s="1026"/>
      <c r="C641" s="294" t="s">
        <v>37</v>
      </c>
      <c r="D641" s="180">
        <v>97513.677800000005</v>
      </c>
      <c r="E641" s="181" t="s">
        <v>561</v>
      </c>
      <c r="F641" s="181" t="s">
        <v>548</v>
      </c>
      <c r="G641" s="182">
        <f>82638.71*1.18</f>
        <v>97513.677800000005</v>
      </c>
      <c r="H641" s="183">
        <v>42379</v>
      </c>
      <c r="I641" s="183">
        <v>42419</v>
      </c>
      <c r="J641" s="184">
        <v>97513.68</v>
      </c>
      <c r="K641" s="184">
        <v>97513.68</v>
      </c>
      <c r="L641" s="183"/>
      <c r="M641" s="184">
        <f>J641-D641</f>
        <v>2.199999988079071E-3</v>
      </c>
      <c r="N641" s="202"/>
      <c r="O641" s="283" t="s">
        <v>705</v>
      </c>
      <c r="P641" s="176"/>
      <c r="Q641" s="177"/>
      <c r="R641" s="132"/>
    </row>
    <row r="642" spans="1:22" ht="17.25" outlineLevel="1" thickBot="1" x14ac:dyDescent="0.3">
      <c r="A642" s="1010" t="s">
        <v>628</v>
      </c>
      <c r="B642" s="1011"/>
      <c r="C642" s="377"/>
      <c r="D642" s="365">
        <f>SUM(D640:D641)</f>
        <v>5053073.6777999997</v>
      </c>
      <c r="E642" s="247"/>
      <c r="F642" s="247"/>
      <c r="G642" s="366">
        <f>SUM(G640:G641)</f>
        <v>5335593.3278000001</v>
      </c>
      <c r="H642" s="247"/>
      <c r="I642" s="277"/>
      <c r="J642" s="365">
        <f>SUM(J640:J641)</f>
        <v>5053073.68</v>
      </c>
      <c r="K642" s="365">
        <f>SUM(K640:K641)</f>
        <v>5053073.68</v>
      </c>
      <c r="L642" s="380"/>
      <c r="M642" s="378"/>
      <c r="N642" s="395">
        <f>AVERAGE(N640:N641)</f>
        <v>1</v>
      </c>
      <c r="O642" s="381"/>
      <c r="P642" s="176"/>
      <c r="Q642" s="177"/>
      <c r="R642" s="132"/>
    </row>
    <row r="643" spans="1:22" s="5" customFormat="1" ht="16.5" x14ac:dyDescent="0.25">
      <c r="A643" s="1027">
        <v>10</v>
      </c>
      <c r="B643" s="1025" t="s">
        <v>170</v>
      </c>
      <c r="C643" s="593" t="s">
        <v>500</v>
      </c>
      <c r="D643" s="594"/>
      <c r="E643" s="595"/>
      <c r="F643" s="595"/>
      <c r="G643" s="596"/>
      <c r="H643" s="595"/>
      <c r="I643" s="597"/>
      <c r="J643" s="598"/>
      <c r="K643" s="598"/>
      <c r="L643" s="599"/>
      <c r="M643" s="598"/>
      <c r="N643" s="600"/>
      <c r="O643" s="601"/>
      <c r="P643" s="176"/>
      <c r="Q643" s="177"/>
      <c r="R643" s="168"/>
      <c r="S643" s="19"/>
      <c r="T643" s="19"/>
      <c r="U643" s="19"/>
      <c r="V643" s="19"/>
    </row>
    <row r="644" spans="1:22" s="54" customFormat="1" ht="33" x14ac:dyDescent="0.25">
      <c r="A644" s="1062"/>
      <c r="B644" s="1061"/>
      <c r="C644" s="273" t="s">
        <v>508</v>
      </c>
      <c r="D644" s="275">
        <v>6725000</v>
      </c>
      <c r="E644" s="273" t="s">
        <v>1008</v>
      </c>
      <c r="F644" s="273" t="s">
        <v>850</v>
      </c>
      <c r="G644" s="486">
        <v>5724253.1600000001</v>
      </c>
      <c r="H644" s="212">
        <v>42679</v>
      </c>
      <c r="I644" s="212">
        <v>42696</v>
      </c>
      <c r="J644" s="275">
        <v>5259316</v>
      </c>
      <c r="K644" s="275">
        <v>5259316</v>
      </c>
      <c r="L644" s="212">
        <v>42705</v>
      </c>
      <c r="M644" s="276"/>
      <c r="N644" s="488">
        <v>1</v>
      </c>
      <c r="O644" s="546" t="s">
        <v>906</v>
      </c>
      <c r="P644" s="176"/>
      <c r="Q644" s="177"/>
      <c r="R644" s="168"/>
      <c r="S644" s="19"/>
      <c r="T644" s="19"/>
      <c r="U644" s="19"/>
      <c r="V644" s="19"/>
    </row>
    <row r="645" spans="1:22" ht="37.5" customHeight="1" outlineLevel="1" x14ac:dyDescent="0.25">
      <c r="A645" s="1028"/>
      <c r="B645" s="1026"/>
      <c r="C645" s="294" t="s">
        <v>37</v>
      </c>
      <c r="D645" s="180">
        <v>97418.593399999998</v>
      </c>
      <c r="E645" s="181" t="s">
        <v>561</v>
      </c>
      <c r="F645" s="181" t="s">
        <v>548</v>
      </c>
      <c r="G645" s="182">
        <f>82558.13*1.18</f>
        <v>97418.593399999998</v>
      </c>
      <c r="H645" s="183">
        <v>42379</v>
      </c>
      <c r="I645" s="183">
        <v>42419</v>
      </c>
      <c r="J645" s="184">
        <v>97418.59</v>
      </c>
      <c r="K645" s="184">
        <v>97418.590000000011</v>
      </c>
      <c r="L645" s="183"/>
      <c r="M645" s="184">
        <f>J645-D645</f>
        <v>-3.4000000014202669E-3</v>
      </c>
      <c r="N645" s="202"/>
      <c r="O645" s="283" t="s">
        <v>905</v>
      </c>
      <c r="P645" s="176"/>
      <c r="Q645" s="177"/>
      <c r="R645" s="132"/>
    </row>
    <row r="646" spans="1:22" ht="17.25" outlineLevel="1" thickBot="1" x14ac:dyDescent="0.3">
      <c r="A646" s="1006" t="s">
        <v>628</v>
      </c>
      <c r="B646" s="1007"/>
      <c r="C646" s="364"/>
      <c r="D646" s="365">
        <f>SUM(D643:D645)</f>
        <v>6822418.5933999997</v>
      </c>
      <c r="E646" s="239"/>
      <c r="F646" s="239"/>
      <c r="G646" s="366">
        <f>SUM(G643:G645)</f>
        <v>5821671.7533999998</v>
      </c>
      <c r="H646" s="239"/>
      <c r="I646" s="321"/>
      <c r="J646" s="365">
        <f>SUM(J643:J645)</f>
        <v>5356734.59</v>
      </c>
      <c r="K646" s="365">
        <f>SUM(K643:K645)</f>
        <v>5356734.59</v>
      </c>
      <c r="L646" s="367"/>
      <c r="M646" s="365"/>
      <c r="N646" s="368">
        <f>AVERAGE(N644:N645)</f>
        <v>1</v>
      </c>
      <c r="O646" s="369"/>
      <c r="P646" s="176"/>
      <c r="Q646" s="177"/>
      <c r="R646" s="132"/>
    </row>
    <row r="647" spans="1:22" s="5" customFormat="1" ht="33" x14ac:dyDescent="0.25">
      <c r="A647" s="1027">
        <v>11</v>
      </c>
      <c r="B647" s="1025" t="s">
        <v>163</v>
      </c>
      <c r="C647" s="371" t="s">
        <v>501</v>
      </c>
      <c r="D647" s="372">
        <v>14066000</v>
      </c>
      <c r="E647" s="220" t="s">
        <v>1173</v>
      </c>
      <c r="F647" s="220" t="s">
        <v>670</v>
      </c>
      <c r="G647" s="463">
        <v>12009385.98</v>
      </c>
      <c r="H647" s="223">
        <v>42783</v>
      </c>
      <c r="I647" s="375"/>
      <c r="J647" s="221"/>
      <c r="K647" s="221"/>
      <c r="L647" s="223"/>
      <c r="M647" s="221"/>
      <c r="N647" s="376">
        <v>0</v>
      </c>
      <c r="O647" s="370"/>
      <c r="P647" s="176">
        <v>2017</v>
      </c>
      <c r="Q647" s="177"/>
      <c r="R647" s="132"/>
      <c r="S647" s="18"/>
      <c r="T647" s="18"/>
      <c r="U647" s="19"/>
      <c r="V647" s="19"/>
    </row>
    <row r="648" spans="1:22" ht="36" customHeight="1" outlineLevel="1" x14ac:dyDescent="0.25">
      <c r="A648" s="1028"/>
      <c r="B648" s="1026"/>
      <c r="C648" s="294" t="s">
        <v>37</v>
      </c>
      <c r="D648" s="180">
        <v>88767.293600000005</v>
      </c>
      <c r="E648" s="181" t="s">
        <v>562</v>
      </c>
      <c r="F648" s="181" t="s">
        <v>548</v>
      </c>
      <c r="G648" s="182">
        <f>75226.52*1.18</f>
        <v>88767.293600000005</v>
      </c>
      <c r="H648" s="183">
        <v>42379</v>
      </c>
      <c r="I648" s="183">
        <v>42349</v>
      </c>
      <c r="J648" s="184">
        <v>88767.29</v>
      </c>
      <c r="K648" s="184">
        <v>88767.290000000008</v>
      </c>
      <c r="L648" s="183"/>
      <c r="M648" s="184">
        <f>J648-D648</f>
        <v>-3.6000000109197572E-3</v>
      </c>
      <c r="N648" s="202"/>
      <c r="O648" s="283" t="s">
        <v>705</v>
      </c>
      <c r="P648" s="176"/>
      <c r="Q648" s="177"/>
      <c r="R648" s="168"/>
      <c r="S648" s="19"/>
      <c r="T648" s="19"/>
    </row>
    <row r="649" spans="1:22" ht="17.25" outlineLevel="1" thickBot="1" x14ac:dyDescent="0.3">
      <c r="A649" s="1006" t="s">
        <v>628</v>
      </c>
      <c r="B649" s="1007"/>
      <c r="C649" s="364"/>
      <c r="D649" s="365">
        <f>SUM(D647:D648)</f>
        <v>14154767.2936</v>
      </c>
      <c r="E649" s="239"/>
      <c r="F649" s="239"/>
      <c r="G649" s="366">
        <f>SUM(G647:G648)</f>
        <v>12098153.273600001</v>
      </c>
      <c r="H649" s="239"/>
      <c r="I649" s="321"/>
      <c r="J649" s="365">
        <f>SUM(J647:J648)</f>
        <v>88767.29</v>
      </c>
      <c r="K649" s="365">
        <f>SUM(K647:K648)</f>
        <v>88767.290000000008</v>
      </c>
      <c r="L649" s="367"/>
      <c r="M649" s="365"/>
      <c r="N649" s="368">
        <f>AVERAGE(N647:N648)</f>
        <v>0</v>
      </c>
      <c r="O649" s="369"/>
      <c r="P649" s="176"/>
      <c r="Q649" s="177"/>
      <c r="R649" s="132"/>
    </row>
    <row r="650" spans="1:22" s="5" customFormat="1" ht="33" x14ac:dyDescent="0.25">
      <c r="A650" s="1027">
        <v>12</v>
      </c>
      <c r="B650" s="1025" t="s">
        <v>164</v>
      </c>
      <c r="C650" s="371" t="s">
        <v>501</v>
      </c>
      <c r="D650" s="372">
        <v>29380000</v>
      </c>
      <c r="E650" s="220" t="s">
        <v>1268</v>
      </c>
      <c r="F650" s="220" t="s">
        <v>876</v>
      </c>
      <c r="G650" s="463">
        <v>28383032.059999999</v>
      </c>
      <c r="H650" s="223">
        <v>42794</v>
      </c>
      <c r="I650" s="375"/>
      <c r="J650" s="221"/>
      <c r="K650" s="221">
        <v>5560824</v>
      </c>
      <c r="L650" s="223">
        <v>42755</v>
      </c>
      <c r="M650" s="221"/>
      <c r="N650" s="376">
        <v>0</v>
      </c>
      <c r="O650" s="370"/>
      <c r="P650" s="176">
        <v>2017</v>
      </c>
      <c r="Q650" s="177"/>
      <c r="R650" s="132"/>
      <c r="S650" s="18"/>
      <c r="T650" s="18"/>
      <c r="U650" s="19"/>
      <c r="V650" s="19"/>
    </row>
    <row r="651" spans="1:22" ht="37.5" customHeight="1" outlineLevel="1" x14ac:dyDescent="0.25">
      <c r="A651" s="1028"/>
      <c r="B651" s="1026"/>
      <c r="C651" s="294" t="s">
        <v>37</v>
      </c>
      <c r="D651" s="180">
        <v>99692.984400000001</v>
      </c>
      <c r="E651" s="181" t="s">
        <v>562</v>
      </c>
      <c r="F651" s="181" t="s">
        <v>548</v>
      </c>
      <c r="G651" s="182">
        <f>84485.58*1.18</f>
        <v>99692.984400000001</v>
      </c>
      <c r="H651" s="183">
        <v>42379</v>
      </c>
      <c r="I651" s="183">
        <v>42349</v>
      </c>
      <c r="J651" s="184">
        <v>99692.98</v>
      </c>
      <c r="K651" s="184">
        <v>99692.979999999981</v>
      </c>
      <c r="L651" s="183"/>
      <c r="M651" s="184">
        <f>J651-D651</f>
        <v>-4.4000000052619725E-3</v>
      </c>
      <c r="N651" s="202"/>
      <c r="O651" s="283" t="s">
        <v>705</v>
      </c>
      <c r="P651" s="176"/>
      <c r="Q651" s="177"/>
      <c r="R651" s="168"/>
      <c r="S651" s="19"/>
      <c r="T651" s="19"/>
    </row>
    <row r="652" spans="1:22" ht="17.25" outlineLevel="1" thickBot="1" x14ac:dyDescent="0.3">
      <c r="A652" s="1010" t="s">
        <v>628</v>
      </c>
      <c r="B652" s="1011"/>
      <c r="C652" s="377"/>
      <c r="D652" s="378">
        <f>SUM(D650:D651)</f>
        <v>29479692.9844</v>
      </c>
      <c r="E652" s="247"/>
      <c r="F652" s="247"/>
      <c r="G652" s="379">
        <f>SUM(G650:G651)</f>
        <v>28482725.044399999</v>
      </c>
      <c r="H652" s="247"/>
      <c r="I652" s="277"/>
      <c r="J652" s="378">
        <f>SUM(J650:J651)</f>
        <v>99692.98</v>
      </c>
      <c r="K652" s="378">
        <f>SUM(K650:K651)</f>
        <v>5660516.9800000004</v>
      </c>
      <c r="L652" s="380"/>
      <c r="M652" s="378"/>
      <c r="N652" s="395">
        <f>AVERAGE(N650:N651)</f>
        <v>0</v>
      </c>
      <c r="O652" s="369"/>
      <c r="P652" s="176"/>
      <c r="Q652" s="177"/>
      <c r="R652" s="132"/>
    </row>
    <row r="653" spans="1:22" ht="33" outlineLevel="1" x14ac:dyDescent="0.25">
      <c r="A653" s="396">
        <v>13</v>
      </c>
      <c r="B653" s="397" t="s">
        <v>1093</v>
      </c>
      <c r="C653" s="197" t="s">
        <v>501</v>
      </c>
      <c r="D653" s="162">
        <v>542384.26</v>
      </c>
      <c r="E653" s="197" t="s">
        <v>1157</v>
      </c>
      <c r="F653" s="197" t="s">
        <v>1156</v>
      </c>
      <c r="G653" s="162">
        <v>735262</v>
      </c>
      <c r="H653" s="161">
        <v>42643</v>
      </c>
      <c r="I653" s="161">
        <v>42647</v>
      </c>
      <c r="J653" s="162">
        <v>542384.26</v>
      </c>
      <c r="K653" s="162">
        <v>542384.26</v>
      </c>
      <c r="L653" s="198"/>
      <c r="M653" s="162">
        <v>0</v>
      </c>
      <c r="N653" s="602">
        <v>1</v>
      </c>
      <c r="O653" s="398"/>
      <c r="P653" s="176"/>
      <c r="Q653" s="201" t="s">
        <v>1116</v>
      </c>
      <c r="R653" s="132"/>
    </row>
    <row r="654" spans="1:22" ht="17.25" outlineLevel="1" thickBot="1" x14ac:dyDescent="0.3">
      <c r="A654" s="1006" t="s">
        <v>628</v>
      </c>
      <c r="B654" s="1007"/>
      <c r="C654" s="364"/>
      <c r="D654" s="365">
        <f>SUM(D653:D653)</f>
        <v>542384.26</v>
      </c>
      <c r="E654" s="239"/>
      <c r="F654" s="239"/>
      <c r="G654" s="365">
        <f>G653</f>
        <v>735262</v>
      </c>
      <c r="H654" s="239"/>
      <c r="I654" s="321"/>
      <c r="J654" s="378">
        <f>SUM(J653:J653)</f>
        <v>542384.26</v>
      </c>
      <c r="K654" s="378">
        <f>SUM(K653:K653)</f>
        <v>542384.26</v>
      </c>
      <c r="L654" s="367"/>
      <c r="M654" s="365"/>
      <c r="N654" s="399">
        <f>AVERAGE(N653)</f>
        <v>1</v>
      </c>
      <c r="O654" s="398"/>
      <c r="P654" s="176"/>
      <c r="Q654" s="177"/>
      <c r="R654" s="132"/>
    </row>
    <row r="655" spans="1:22" s="5" customFormat="1" ht="33" x14ac:dyDescent="0.25">
      <c r="A655" s="1062">
        <v>14</v>
      </c>
      <c r="B655" s="1061" t="s">
        <v>171</v>
      </c>
      <c r="C655" s="273" t="s">
        <v>500</v>
      </c>
      <c r="D655" s="275">
        <v>3265832.46</v>
      </c>
      <c r="E655" s="273" t="s">
        <v>861</v>
      </c>
      <c r="F655" s="273" t="s">
        <v>862</v>
      </c>
      <c r="G655" s="486">
        <v>3325110</v>
      </c>
      <c r="H655" s="212">
        <v>42530</v>
      </c>
      <c r="I655" s="212">
        <v>42530</v>
      </c>
      <c r="J655" s="162">
        <v>3265832.46</v>
      </c>
      <c r="K655" s="162">
        <v>3265832.46</v>
      </c>
      <c r="L655" s="212"/>
      <c r="M655" s="275">
        <f>J655-D655</f>
        <v>0</v>
      </c>
      <c r="N655" s="488">
        <v>1</v>
      </c>
      <c r="O655" s="382"/>
      <c r="P655" s="176"/>
      <c r="Q655" s="177"/>
      <c r="R655" s="132"/>
      <c r="S655" s="18"/>
      <c r="T655" s="18"/>
      <c r="U655" s="19"/>
      <c r="V655" s="19"/>
    </row>
    <row r="656" spans="1:22" ht="35.25" customHeight="1" outlineLevel="1" x14ac:dyDescent="0.25">
      <c r="A656" s="1028"/>
      <c r="B656" s="1026"/>
      <c r="C656" s="294" t="s">
        <v>37</v>
      </c>
      <c r="D656" s="180">
        <v>97418.593399999998</v>
      </c>
      <c r="E656" s="181" t="s">
        <v>561</v>
      </c>
      <c r="F656" s="181" t="s">
        <v>548</v>
      </c>
      <c r="G656" s="182">
        <f>82558.13*1.18</f>
        <v>97418.593399999998</v>
      </c>
      <c r="H656" s="183">
        <v>42379</v>
      </c>
      <c r="I656" s="183">
        <v>42419</v>
      </c>
      <c r="J656" s="184">
        <v>97418.59</v>
      </c>
      <c r="K656" s="184">
        <v>97418.590000000011</v>
      </c>
      <c r="L656" s="183"/>
      <c r="M656" s="184">
        <f>J656-D656</f>
        <v>-3.4000000014202669E-3</v>
      </c>
      <c r="N656" s="202"/>
      <c r="O656" s="283" t="s">
        <v>705</v>
      </c>
      <c r="P656" s="176"/>
      <c r="Q656" s="177"/>
      <c r="R656" s="168"/>
      <c r="S656" s="19"/>
      <c r="T656" s="19"/>
    </row>
    <row r="657" spans="1:22" ht="17.25" outlineLevel="1" thickBot="1" x14ac:dyDescent="0.3">
      <c r="A657" s="1010" t="s">
        <v>628</v>
      </c>
      <c r="B657" s="1011"/>
      <c r="C657" s="377"/>
      <c r="D657" s="378">
        <f>SUM(D655:D656)</f>
        <v>3363251.0534000001</v>
      </c>
      <c r="E657" s="247"/>
      <c r="F657" s="247"/>
      <c r="G657" s="379">
        <f>SUM(G655:G656)</f>
        <v>3422528.5934000001</v>
      </c>
      <c r="H657" s="247"/>
      <c r="I657" s="277"/>
      <c r="J657" s="378">
        <f>SUM(J655:J656)</f>
        <v>3363251.05</v>
      </c>
      <c r="K657" s="378">
        <f>SUM(K655:K656)</f>
        <v>3363251.05</v>
      </c>
      <c r="L657" s="380"/>
      <c r="M657" s="378"/>
      <c r="N657" s="395">
        <f>AVERAGE(N655:N656)</f>
        <v>1</v>
      </c>
      <c r="O657" s="381"/>
      <c r="P657" s="176"/>
      <c r="Q657" s="177"/>
      <c r="R657" s="132"/>
    </row>
    <row r="658" spans="1:22" s="5" customFormat="1" ht="32.25" customHeight="1" x14ac:dyDescent="0.25">
      <c r="A658" s="1027">
        <v>15</v>
      </c>
      <c r="B658" s="1025" t="s">
        <v>165</v>
      </c>
      <c r="C658" s="197" t="s">
        <v>500</v>
      </c>
      <c r="D658" s="162">
        <v>7125668.0499999998</v>
      </c>
      <c r="E658" s="197" t="s">
        <v>767</v>
      </c>
      <c r="F658" s="197" t="s">
        <v>768</v>
      </c>
      <c r="G658" s="353">
        <v>7322095.8399999999</v>
      </c>
      <c r="H658" s="161">
        <v>42580</v>
      </c>
      <c r="I658" s="161">
        <v>42531</v>
      </c>
      <c r="J658" s="162">
        <v>7125668.0500000007</v>
      </c>
      <c r="K658" s="162">
        <v>7125668.0500000007</v>
      </c>
      <c r="L658" s="161"/>
      <c r="M658" s="162">
        <f>J658-D658</f>
        <v>0</v>
      </c>
      <c r="N658" s="200">
        <v>1</v>
      </c>
      <c r="O658" s="382"/>
      <c r="P658" s="176"/>
      <c r="Q658" s="177"/>
      <c r="R658" s="132"/>
      <c r="S658" s="18"/>
      <c r="T658" s="18"/>
      <c r="U658" s="19"/>
      <c r="V658" s="19"/>
    </row>
    <row r="659" spans="1:22" ht="39" customHeight="1" outlineLevel="1" x14ac:dyDescent="0.25">
      <c r="A659" s="1028"/>
      <c r="B659" s="1026"/>
      <c r="C659" s="294" t="s">
        <v>37</v>
      </c>
      <c r="D659" s="180">
        <v>97995.141399999993</v>
      </c>
      <c r="E659" s="181" t="s">
        <v>562</v>
      </c>
      <c r="F659" s="181" t="s">
        <v>548</v>
      </c>
      <c r="G659" s="182">
        <f>83046.73*1.18</f>
        <v>97995.141399999993</v>
      </c>
      <c r="H659" s="183">
        <v>42379</v>
      </c>
      <c r="I659" s="183">
        <v>42349</v>
      </c>
      <c r="J659" s="184">
        <v>97995.14</v>
      </c>
      <c r="K659" s="184">
        <v>97995.14</v>
      </c>
      <c r="L659" s="183"/>
      <c r="M659" s="184">
        <f>J659-D659</f>
        <v>-1.3999999937368557E-3</v>
      </c>
      <c r="N659" s="202"/>
      <c r="O659" s="283" t="s">
        <v>705</v>
      </c>
      <c r="P659" s="176"/>
      <c r="Q659" s="177"/>
      <c r="R659" s="132"/>
    </row>
    <row r="660" spans="1:22" ht="17.25" outlineLevel="1" thickBot="1" x14ac:dyDescent="0.3">
      <c r="A660" s="1006" t="s">
        <v>628</v>
      </c>
      <c r="B660" s="1007"/>
      <c r="C660" s="364"/>
      <c r="D660" s="365">
        <f>SUM(D658:D659)</f>
        <v>7223663.1913999999</v>
      </c>
      <c r="E660" s="188"/>
      <c r="F660" s="188"/>
      <c r="G660" s="366">
        <f>SUM(G658:G659)</f>
        <v>7420090.9813999999</v>
      </c>
      <c r="H660" s="188"/>
      <c r="I660" s="190"/>
      <c r="J660" s="365">
        <f>SUM(J658:J659)</f>
        <v>7223663.1900000004</v>
      </c>
      <c r="K660" s="365">
        <f>SUM(K658:K659)</f>
        <v>7223663.1900000004</v>
      </c>
      <c r="L660" s="367"/>
      <c r="M660" s="365"/>
      <c r="N660" s="368">
        <f>AVERAGE(N658:N659)</f>
        <v>1</v>
      </c>
      <c r="O660" s="369"/>
      <c r="P660" s="176"/>
      <c r="Q660" s="177"/>
      <c r="R660" s="168"/>
      <c r="S660" s="19"/>
      <c r="T660" s="19"/>
    </row>
    <row r="661" spans="1:22" s="5" customFormat="1" ht="33" x14ac:dyDescent="0.25">
      <c r="A661" s="1027">
        <v>16</v>
      </c>
      <c r="B661" s="1025" t="s">
        <v>166</v>
      </c>
      <c r="C661" s="371" t="s">
        <v>501</v>
      </c>
      <c r="D661" s="372">
        <v>18134000</v>
      </c>
      <c r="E661" s="220" t="s">
        <v>1268</v>
      </c>
      <c r="F661" s="220" t="s">
        <v>876</v>
      </c>
      <c r="G661" s="463">
        <v>16138671.199999999</v>
      </c>
      <c r="H661" s="223">
        <v>42794</v>
      </c>
      <c r="I661" s="375"/>
      <c r="J661" s="221"/>
      <c r="K661" s="221"/>
      <c r="L661" s="223"/>
      <c r="M661" s="221"/>
      <c r="N661" s="376">
        <v>0</v>
      </c>
      <c r="O661" s="370"/>
      <c r="P661" s="176">
        <v>2017</v>
      </c>
      <c r="Q661" s="177"/>
      <c r="R661" s="132"/>
      <c r="S661" s="18"/>
      <c r="T661" s="18"/>
      <c r="U661" s="19"/>
      <c r="V661" s="19"/>
    </row>
    <row r="662" spans="1:22" ht="33.75" customHeight="1" outlineLevel="1" x14ac:dyDescent="0.25">
      <c r="A662" s="1028"/>
      <c r="B662" s="1026"/>
      <c r="C662" s="294" t="s">
        <v>37</v>
      </c>
      <c r="D662" s="180">
        <v>104944.97559999999</v>
      </c>
      <c r="E662" s="181" t="s">
        <v>562</v>
      </c>
      <c r="F662" s="181" t="s">
        <v>548</v>
      </c>
      <c r="G662" s="182">
        <f>88936.42*1.18</f>
        <v>104944.97559999999</v>
      </c>
      <c r="H662" s="183">
        <v>42379</v>
      </c>
      <c r="I662" s="183">
        <v>42349</v>
      </c>
      <c r="J662" s="184">
        <v>104944.98</v>
      </c>
      <c r="K662" s="184">
        <v>104944.98</v>
      </c>
      <c r="L662" s="183"/>
      <c r="M662" s="184">
        <f>J662-D662</f>
        <v>4.4000000052619725E-3</v>
      </c>
      <c r="N662" s="202"/>
      <c r="O662" s="283" t="s">
        <v>705</v>
      </c>
      <c r="P662" s="176"/>
      <c r="Q662" s="177"/>
      <c r="R662" s="132"/>
    </row>
    <row r="663" spans="1:22" ht="17.25" outlineLevel="1" thickBot="1" x14ac:dyDescent="0.3">
      <c r="A663" s="1006" t="s">
        <v>628</v>
      </c>
      <c r="B663" s="1007"/>
      <c r="C663" s="364"/>
      <c r="D663" s="365">
        <f>SUM(D661:D662)</f>
        <v>18238944.9756</v>
      </c>
      <c r="E663" s="239"/>
      <c r="F663" s="239"/>
      <c r="G663" s="366">
        <f>SUM(G661:G662)</f>
        <v>16243616.1756</v>
      </c>
      <c r="H663" s="239"/>
      <c r="I663" s="321"/>
      <c r="J663" s="365">
        <f>SUM(J661:J662)</f>
        <v>104944.98</v>
      </c>
      <c r="K663" s="365">
        <f>SUM(K661:K662)</f>
        <v>104944.98</v>
      </c>
      <c r="L663" s="367"/>
      <c r="M663" s="365"/>
      <c r="N663" s="368">
        <f>AVERAGE(N661:N662)</f>
        <v>0</v>
      </c>
      <c r="O663" s="369"/>
      <c r="P663" s="176"/>
      <c r="Q663" s="177"/>
      <c r="R663" s="132"/>
    </row>
    <row r="664" spans="1:22" s="5" customFormat="1" ht="33" x14ac:dyDescent="0.25">
      <c r="A664" s="1027">
        <v>17</v>
      </c>
      <c r="B664" s="1025" t="s">
        <v>19</v>
      </c>
      <c r="C664" s="371" t="s">
        <v>501</v>
      </c>
      <c r="D664" s="372">
        <v>12185000</v>
      </c>
      <c r="E664" s="220" t="s">
        <v>1268</v>
      </c>
      <c r="F664" s="220" t="s">
        <v>876</v>
      </c>
      <c r="G664" s="463">
        <v>11086533.060000001</v>
      </c>
      <c r="H664" s="223">
        <v>42794</v>
      </c>
      <c r="I664" s="375"/>
      <c r="J664" s="221"/>
      <c r="K664" s="221"/>
      <c r="L664" s="223"/>
      <c r="M664" s="221"/>
      <c r="N664" s="376">
        <v>0</v>
      </c>
      <c r="O664" s="370"/>
      <c r="P664" s="176">
        <v>2017</v>
      </c>
      <c r="Q664" s="177"/>
      <c r="R664" s="132"/>
      <c r="S664" s="18"/>
      <c r="T664" s="18"/>
      <c r="U664" s="19"/>
      <c r="V664" s="19"/>
    </row>
    <row r="665" spans="1:22" ht="39" customHeight="1" outlineLevel="1" x14ac:dyDescent="0.25">
      <c r="A665" s="1028"/>
      <c r="B665" s="1026"/>
      <c r="C665" s="294" t="s">
        <v>37</v>
      </c>
      <c r="D665" s="180">
        <v>102256.78219999999</v>
      </c>
      <c r="E665" s="181" t="s">
        <v>562</v>
      </c>
      <c r="F665" s="181" t="s">
        <v>548</v>
      </c>
      <c r="G665" s="182">
        <f>86658.29*1.18</f>
        <v>102256.78219999999</v>
      </c>
      <c r="H665" s="183">
        <v>42379</v>
      </c>
      <c r="I665" s="183">
        <v>42349</v>
      </c>
      <c r="J665" s="184">
        <v>102256.78</v>
      </c>
      <c r="K665" s="184">
        <v>102256.78</v>
      </c>
      <c r="L665" s="183"/>
      <c r="M665" s="184">
        <f>J665-D665</f>
        <v>-2.199999988079071E-3</v>
      </c>
      <c r="N665" s="202"/>
      <c r="O665" s="283" t="s">
        <v>705</v>
      </c>
      <c r="P665" s="176"/>
      <c r="Q665" s="177"/>
      <c r="R665" s="132"/>
    </row>
    <row r="666" spans="1:22" ht="17.25" outlineLevel="1" thickBot="1" x14ac:dyDescent="0.3">
      <c r="A666" s="1006" t="s">
        <v>628</v>
      </c>
      <c r="B666" s="1007"/>
      <c r="C666" s="364"/>
      <c r="D666" s="365">
        <f>SUM(D664:D665)</f>
        <v>12287256.782199999</v>
      </c>
      <c r="E666" s="239"/>
      <c r="F666" s="239"/>
      <c r="G666" s="366">
        <f>SUM(G664:G665)</f>
        <v>11188789.8422</v>
      </c>
      <c r="H666" s="239"/>
      <c r="I666" s="321"/>
      <c r="J666" s="365">
        <f>SUM(J664:J665)</f>
        <v>102256.78</v>
      </c>
      <c r="K666" s="365">
        <f>SUM(K664:K665)</f>
        <v>102256.78</v>
      </c>
      <c r="L666" s="367"/>
      <c r="M666" s="365"/>
      <c r="N666" s="368">
        <f>AVERAGE(N664:N665)</f>
        <v>0</v>
      </c>
      <c r="O666" s="369"/>
      <c r="P666" s="176"/>
      <c r="Q666" s="177"/>
      <c r="R666" s="132"/>
    </row>
    <row r="667" spans="1:22" s="5" customFormat="1" ht="33" x14ac:dyDescent="0.25">
      <c r="A667" s="1027">
        <v>18</v>
      </c>
      <c r="B667" s="1025" t="s">
        <v>167</v>
      </c>
      <c r="C667" s="197" t="s">
        <v>34</v>
      </c>
      <c r="D667" s="162">
        <v>4965618.49</v>
      </c>
      <c r="E667" s="197" t="s">
        <v>769</v>
      </c>
      <c r="F667" s="197" t="s">
        <v>770</v>
      </c>
      <c r="G667" s="603">
        <v>5954671.6500000004</v>
      </c>
      <c r="H667" s="161">
        <v>42540</v>
      </c>
      <c r="I667" s="161">
        <v>42513</v>
      </c>
      <c r="J667" s="162">
        <v>4965618.49</v>
      </c>
      <c r="K667" s="162">
        <v>4965618.49</v>
      </c>
      <c r="L667" s="161"/>
      <c r="M667" s="275">
        <f>J667-D667</f>
        <v>0</v>
      </c>
      <c r="N667" s="200">
        <v>1</v>
      </c>
      <c r="O667" s="382"/>
      <c r="P667" s="176"/>
      <c r="Q667" s="177"/>
      <c r="R667" s="168"/>
      <c r="S667" s="19"/>
      <c r="T667" s="19"/>
      <c r="U667" s="19"/>
      <c r="V667" s="19"/>
    </row>
    <row r="668" spans="1:22" ht="39" customHeight="1" outlineLevel="1" x14ac:dyDescent="0.25">
      <c r="A668" s="1028"/>
      <c r="B668" s="1026"/>
      <c r="C668" s="294" t="s">
        <v>37</v>
      </c>
      <c r="D668" s="180">
        <v>86194.728400000007</v>
      </c>
      <c r="E668" s="181" t="s">
        <v>562</v>
      </c>
      <c r="F668" s="181" t="s">
        <v>548</v>
      </c>
      <c r="G668" s="182">
        <f>73046.38*1.18</f>
        <v>86194.728400000007</v>
      </c>
      <c r="H668" s="183">
        <v>42379</v>
      </c>
      <c r="I668" s="183">
        <v>42349</v>
      </c>
      <c r="J668" s="184">
        <v>86194.73000000001</v>
      </c>
      <c r="K668" s="184">
        <v>86194.73</v>
      </c>
      <c r="L668" s="183"/>
      <c r="M668" s="184">
        <f>J668-D668</f>
        <v>1.6000000032363459E-3</v>
      </c>
      <c r="N668" s="202"/>
      <c r="O668" s="283" t="s">
        <v>705</v>
      </c>
      <c r="P668" s="176"/>
      <c r="Q668" s="177"/>
      <c r="R668" s="132"/>
    </row>
    <row r="669" spans="1:22" ht="17.25" outlineLevel="1" thickBot="1" x14ac:dyDescent="0.3">
      <c r="A669" s="1006" t="s">
        <v>628</v>
      </c>
      <c r="B669" s="1007"/>
      <c r="C669" s="364"/>
      <c r="D669" s="365">
        <f>SUM(D667:D668)</f>
        <v>5051813.2184000006</v>
      </c>
      <c r="E669" s="239"/>
      <c r="F669" s="239"/>
      <c r="G669" s="366">
        <f>SUM(G667:G668)</f>
        <v>6040866.3784000007</v>
      </c>
      <c r="H669" s="239"/>
      <c r="I669" s="321"/>
      <c r="J669" s="365">
        <f>SUM(J667:J668)</f>
        <v>5051813.2200000007</v>
      </c>
      <c r="K669" s="365">
        <f>SUM(K667:K668)</f>
        <v>5051813.2200000007</v>
      </c>
      <c r="L669" s="367"/>
      <c r="M669" s="365"/>
      <c r="N669" s="368">
        <f>AVERAGE(N667:N668)</f>
        <v>1</v>
      </c>
      <c r="O669" s="369"/>
      <c r="P669" s="176"/>
      <c r="Q669" s="177"/>
      <c r="R669" s="132"/>
    </row>
    <row r="670" spans="1:22" s="8" customFormat="1" ht="19.5" customHeight="1" outlineLevel="1" x14ac:dyDescent="0.25">
      <c r="A670" s="1130" t="s">
        <v>1097</v>
      </c>
      <c r="B670" s="1131"/>
      <c r="C670" s="1153"/>
      <c r="D670" s="324">
        <v>2970000</v>
      </c>
      <c r="E670" s="325"/>
      <c r="F670" s="326"/>
      <c r="G670" s="327">
        <f>SUM(G671:G676)</f>
        <v>1648420.58</v>
      </c>
      <c r="H670" s="328"/>
      <c r="I670" s="329"/>
      <c r="J670" s="324"/>
      <c r="K670" s="324"/>
      <c r="L670" s="330"/>
      <c r="M670" s="324"/>
      <c r="N670" s="331"/>
      <c r="O670" s="332"/>
      <c r="P670" s="176"/>
      <c r="Q670" s="446"/>
      <c r="R670" s="335"/>
      <c r="S670" s="2"/>
      <c r="T670" s="2"/>
      <c r="U670" s="2"/>
      <c r="V670" s="2"/>
    </row>
    <row r="671" spans="1:22" s="8" customFormat="1" ht="28.5" customHeight="1" outlineLevel="1" x14ac:dyDescent="0.25">
      <c r="A671" s="336"/>
      <c r="B671" s="527" t="s">
        <v>1214</v>
      </c>
      <c r="C671" s="337" t="s">
        <v>37</v>
      </c>
      <c r="D671" s="339"/>
      <c r="E671" s="996" t="s">
        <v>1225</v>
      </c>
      <c r="F671" s="1094" t="s">
        <v>1021</v>
      </c>
      <c r="G671" s="339">
        <v>254833.28</v>
      </c>
      <c r="H671" s="1155">
        <v>42767</v>
      </c>
      <c r="I671" s="172"/>
      <c r="J671" s="338"/>
      <c r="K671" s="338"/>
      <c r="L671" s="340"/>
      <c r="M671" s="338"/>
      <c r="N671" s="341"/>
      <c r="O671" s="342"/>
      <c r="P671" s="528"/>
      <c r="Q671" s="446"/>
      <c r="R671" s="335"/>
      <c r="S671" s="2"/>
      <c r="T671" s="2"/>
      <c r="U671" s="2"/>
      <c r="V671" s="2"/>
    </row>
    <row r="672" spans="1:22" s="8" customFormat="1" ht="33" customHeight="1" outlineLevel="1" x14ac:dyDescent="0.25">
      <c r="A672" s="336"/>
      <c r="B672" s="604" t="s">
        <v>1215</v>
      </c>
      <c r="C672" s="337" t="s">
        <v>37</v>
      </c>
      <c r="D672" s="339"/>
      <c r="E672" s="997"/>
      <c r="F672" s="998"/>
      <c r="G672" s="339">
        <v>254833.28</v>
      </c>
      <c r="H672" s="980"/>
      <c r="I672" s="172"/>
      <c r="J672" s="338"/>
      <c r="K672" s="338"/>
      <c r="L672" s="340"/>
      <c r="M672" s="338"/>
      <c r="N672" s="341"/>
      <c r="O672" s="342"/>
      <c r="P672" s="528"/>
      <c r="Q672" s="446"/>
      <c r="R672" s="335"/>
      <c r="S672" s="2"/>
      <c r="T672" s="2"/>
      <c r="U672" s="2"/>
      <c r="V672" s="2"/>
    </row>
    <row r="673" spans="1:22" s="8" customFormat="1" ht="33" customHeight="1" outlineLevel="1" x14ac:dyDescent="0.25">
      <c r="A673" s="336"/>
      <c r="B673" s="604" t="s">
        <v>163</v>
      </c>
      <c r="C673" s="337" t="s">
        <v>37</v>
      </c>
      <c r="D673" s="339"/>
      <c r="E673" s="997"/>
      <c r="F673" s="998"/>
      <c r="G673" s="339">
        <v>97255.18</v>
      </c>
      <c r="H673" s="980"/>
      <c r="I673" s="172"/>
      <c r="J673" s="338"/>
      <c r="K673" s="338"/>
      <c r="L673" s="340"/>
      <c r="M673" s="338"/>
      <c r="N673" s="341"/>
      <c r="O673" s="342"/>
      <c r="P673" s="528"/>
      <c r="Q673" s="446"/>
      <c r="R673" s="335"/>
      <c r="S673" s="2"/>
      <c r="T673" s="2"/>
      <c r="U673" s="2"/>
      <c r="V673" s="2"/>
    </row>
    <row r="674" spans="1:22" s="8" customFormat="1" ht="33" outlineLevel="1" x14ac:dyDescent="0.25">
      <c r="A674" s="336"/>
      <c r="B674" s="604" t="s">
        <v>1216</v>
      </c>
      <c r="C674" s="337" t="s">
        <v>37</v>
      </c>
      <c r="D674" s="339"/>
      <c r="E674" s="997"/>
      <c r="F674" s="998"/>
      <c r="G674" s="339">
        <v>365229</v>
      </c>
      <c r="H674" s="980"/>
      <c r="I674" s="172"/>
      <c r="J674" s="338"/>
      <c r="K674" s="338"/>
      <c r="L674" s="340"/>
      <c r="M674" s="338"/>
      <c r="N674" s="341"/>
      <c r="O674" s="342"/>
      <c r="P674" s="528"/>
      <c r="Q674" s="446"/>
      <c r="R674" s="335"/>
      <c r="S674" s="2"/>
      <c r="T674" s="2"/>
      <c r="U674" s="2"/>
      <c r="V674" s="2"/>
    </row>
    <row r="675" spans="1:22" s="8" customFormat="1" ht="33" outlineLevel="1" x14ac:dyDescent="0.25">
      <c r="A675" s="336"/>
      <c r="B675" s="604" t="s">
        <v>1217</v>
      </c>
      <c r="C675" s="337" t="s">
        <v>37</v>
      </c>
      <c r="D675" s="339"/>
      <c r="E675" s="997"/>
      <c r="F675" s="998"/>
      <c r="G675" s="339">
        <v>388003.21</v>
      </c>
      <c r="H675" s="980"/>
      <c r="I675" s="172"/>
      <c r="J675" s="338"/>
      <c r="K675" s="338"/>
      <c r="L675" s="340"/>
      <c r="M675" s="338"/>
      <c r="N675" s="341"/>
      <c r="O675" s="342"/>
      <c r="P675" s="528"/>
      <c r="Q675" s="446"/>
      <c r="R675" s="335"/>
      <c r="S675" s="2"/>
      <c r="T675" s="2"/>
      <c r="U675" s="2"/>
      <c r="V675" s="2"/>
    </row>
    <row r="676" spans="1:22" s="8" customFormat="1" ht="33.75" outlineLevel="1" thickBot="1" x14ac:dyDescent="0.3">
      <c r="A676" s="605"/>
      <c r="B676" s="604" t="s">
        <v>1218</v>
      </c>
      <c r="C676" s="337" t="s">
        <v>37</v>
      </c>
      <c r="D676" s="585"/>
      <c r="E676" s="1165"/>
      <c r="F676" s="1166"/>
      <c r="G676" s="481">
        <v>288266.63</v>
      </c>
      <c r="H676" s="1156"/>
      <c r="I676" s="277"/>
      <c r="J676" s="577"/>
      <c r="K676" s="577"/>
      <c r="L676" s="579"/>
      <c r="M676" s="577"/>
      <c r="N676" s="606"/>
      <c r="O676" s="607"/>
      <c r="P676" s="528"/>
      <c r="Q676" s="446"/>
      <c r="R676" s="335"/>
      <c r="S676" s="2"/>
      <c r="T676" s="2"/>
      <c r="U676" s="2"/>
      <c r="V676" s="2"/>
    </row>
    <row r="677" spans="1:22" ht="17.25" outlineLevel="1" thickBot="1" x14ac:dyDescent="0.3">
      <c r="A677" s="1056" t="s">
        <v>629</v>
      </c>
      <c r="B677" s="1057"/>
      <c r="C677" s="150"/>
      <c r="D677" s="149">
        <f>SUM(,D669,D666,D663,D660,D657,D652,D649,D646,D642,D639,D635,D632,D629,D624,D621,D618,D615,D654,D670)</f>
        <v>187896064.72379997</v>
      </c>
      <c r="E677" s="150"/>
      <c r="F677" s="150"/>
      <c r="G677" s="426">
        <f>SUM(G669,G666,G663,G660,G657,G652,G649,G646,G642,G639,G635,G632,G629,G624,G621,G618,G615,G654,G670)</f>
        <v>182959919.98319998</v>
      </c>
      <c r="H677" s="150"/>
      <c r="I677" s="449"/>
      <c r="J677" s="149">
        <f>SUM(J669,J666,J663,J660,J657,J652,J649,J646,J642,J639,J635,J632,J629,J624,J621,J618,J615,J654)</f>
        <v>73855380.719999999</v>
      </c>
      <c r="K677" s="149">
        <f>SUM(K669,K666,K663,K660,K657,K654,K652,K649,K646,K642,K639,K635,K632,K629,K624,K621,K618,K615)</f>
        <v>79416204.719999999</v>
      </c>
      <c r="L677" s="154"/>
      <c r="M677" s="149"/>
      <c r="N677" s="587">
        <f>AVERAGE(N669,N666,N663,N660,N657,N652,N649,N646,N642,N639,N635,N632,N629,N624,N621,N618,N615)</f>
        <v>0.67647058823529416</v>
      </c>
      <c r="O677" s="608"/>
      <c r="P677" s="176"/>
      <c r="Q677" s="177"/>
      <c r="R677" s="132"/>
    </row>
    <row r="678" spans="1:22" s="5" customFormat="1" ht="23.25" customHeight="1" thickBot="1" x14ac:dyDescent="0.3">
      <c r="A678" s="1038" t="s">
        <v>638</v>
      </c>
      <c r="B678" s="1039"/>
      <c r="C678" s="1039"/>
      <c r="D678" s="1039"/>
      <c r="E678" s="1039"/>
      <c r="F678" s="1039"/>
      <c r="G678" s="1039"/>
      <c r="H678" s="1039"/>
      <c r="I678" s="1039"/>
      <c r="J678" s="1039"/>
      <c r="K678" s="1039"/>
      <c r="L678" s="1039"/>
      <c r="M678" s="1039"/>
      <c r="N678" s="1039"/>
      <c r="O678" s="1039"/>
      <c r="P678" s="176"/>
      <c r="Q678" s="177"/>
      <c r="R678" s="132"/>
      <c r="S678" s="18"/>
      <c r="T678" s="18"/>
      <c r="U678" s="19"/>
      <c r="V678" s="19"/>
    </row>
    <row r="679" spans="1:22" s="5" customFormat="1" ht="82.5" x14ac:dyDescent="0.25">
      <c r="A679" s="396">
        <v>1</v>
      </c>
      <c r="B679" s="397" t="s">
        <v>173</v>
      </c>
      <c r="C679" s="197" t="s">
        <v>34</v>
      </c>
      <c r="D679" s="162">
        <v>2161743.14</v>
      </c>
      <c r="E679" s="197" t="s">
        <v>857</v>
      </c>
      <c r="F679" s="197" t="s">
        <v>858</v>
      </c>
      <c r="G679" s="353">
        <v>2161743.14</v>
      </c>
      <c r="H679" s="161">
        <v>42510</v>
      </c>
      <c r="I679" s="161">
        <v>42719</v>
      </c>
      <c r="J679" s="162">
        <v>2029861.92</v>
      </c>
      <c r="K679" s="162">
        <v>2029861.92</v>
      </c>
      <c r="L679" s="161"/>
      <c r="M679" s="162"/>
      <c r="N679" s="200">
        <v>1</v>
      </c>
      <c r="O679" s="370"/>
      <c r="P679" s="176"/>
      <c r="Q679" s="177" t="s">
        <v>1129</v>
      </c>
      <c r="R679" s="132"/>
      <c r="S679" s="18"/>
      <c r="T679" s="18"/>
      <c r="U679" s="19"/>
      <c r="V679" s="19"/>
    </row>
    <row r="680" spans="1:22" ht="17.25" outlineLevel="1" thickBot="1" x14ac:dyDescent="0.3">
      <c r="A680" s="1006" t="s">
        <v>628</v>
      </c>
      <c r="B680" s="1007"/>
      <c r="C680" s="364"/>
      <c r="D680" s="365">
        <f>SUM(D679:D679)</f>
        <v>2161743.14</v>
      </c>
      <c r="E680" s="239"/>
      <c r="F680" s="239"/>
      <c r="G680" s="366">
        <f>SUM(G679:G679)</f>
        <v>2161743.14</v>
      </c>
      <c r="H680" s="239"/>
      <c r="I680" s="321"/>
      <c r="J680" s="365">
        <f>SUM(J679:J679)</f>
        <v>2029861.92</v>
      </c>
      <c r="K680" s="365">
        <f>SUM(K679:K679)</f>
        <v>2029861.92</v>
      </c>
      <c r="L680" s="367"/>
      <c r="M680" s="365"/>
      <c r="N680" s="368">
        <f>AVERAGE(N679)</f>
        <v>1</v>
      </c>
      <c r="O680" s="369"/>
      <c r="P680" s="176"/>
      <c r="Q680" s="177"/>
      <c r="R680" s="132"/>
    </row>
    <row r="681" spans="1:22" s="5" customFormat="1" ht="45" customHeight="1" x14ac:dyDescent="0.25">
      <c r="A681" s="396">
        <v>2</v>
      </c>
      <c r="B681" s="397" t="s">
        <v>174</v>
      </c>
      <c r="C681" s="197" t="s">
        <v>34</v>
      </c>
      <c r="D681" s="162">
        <v>2093915.57</v>
      </c>
      <c r="E681" s="197" t="s">
        <v>857</v>
      </c>
      <c r="F681" s="197" t="s">
        <v>858</v>
      </c>
      <c r="G681" s="353">
        <v>2093915.57</v>
      </c>
      <c r="H681" s="161">
        <v>42510</v>
      </c>
      <c r="I681" s="161">
        <v>42719</v>
      </c>
      <c r="J681" s="162">
        <v>1963489.35</v>
      </c>
      <c r="K681" s="162">
        <v>1963489.35</v>
      </c>
      <c r="L681" s="161"/>
      <c r="M681" s="162"/>
      <c r="N681" s="200">
        <v>1</v>
      </c>
      <c r="O681" s="370"/>
      <c r="P681" s="176"/>
      <c r="Q681" s="526" t="s">
        <v>1129</v>
      </c>
      <c r="R681" s="132"/>
      <c r="S681" s="18"/>
      <c r="T681" s="18"/>
      <c r="U681" s="19"/>
      <c r="V681" s="19"/>
    </row>
    <row r="682" spans="1:22" ht="17.25" outlineLevel="1" thickBot="1" x14ac:dyDescent="0.3">
      <c r="A682" s="1006" t="s">
        <v>628</v>
      </c>
      <c r="B682" s="1007"/>
      <c r="C682" s="364"/>
      <c r="D682" s="365">
        <f>SUM(D681:D681)</f>
        <v>2093915.57</v>
      </c>
      <c r="E682" s="188"/>
      <c r="F682" s="188"/>
      <c r="G682" s="366">
        <f>SUM(G681:G681)</f>
        <v>2093915.57</v>
      </c>
      <c r="H682" s="188"/>
      <c r="I682" s="190"/>
      <c r="J682" s="365">
        <f>SUM(J681:J681)</f>
        <v>1963489.35</v>
      </c>
      <c r="K682" s="365">
        <f>SUM(K681:K681)</f>
        <v>1963489.35</v>
      </c>
      <c r="L682" s="367"/>
      <c r="M682" s="365"/>
      <c r="N682" s="368">
        <f>AVERAGE(N681)</f>
        <v>1</v>
      </c>
      <c r="O682" s="369"/>
      <c r="P682" s="176"/>
      <c r="Q682" s="177"/>
      <c r="R682" s="168"/>
      <c r="S682" s="19"/>
      <c r="T682" s="19"/>
    </row>
    <row r="683" spans="1:22" s="5" customFormat="1" ht="28.5" customHeight="1" x14ac:dyDescent="0.25">
      <c r="A683" s="1027">
        <v>3</v>
      </c>
      <c r="B683" s="1025" t="s">
        <v>179</v>
      </c>
      <c r="C683" s="197" t="s">
        <v>500</v>
      </c>
      <c r="D683" s="162">
        <v>3591329.23</v>
      </c>
      <c r="E683" s="197" t="s">
        <v>859</v>
      </c>
      <c r="F683" s="197" t="s">
        <v>858</v>
      </c>
      <c r="G683" s="353">
        <v>3700000</v>
      </c>
      <c r="H683" s="161">
        <v>42518</v>
      </c>
      <c r="I683" s="161">
        <v>42518</v>
      </c>
      <c r="J683" s="162">
        <v>3591329.2300000004</v>
      </c>
      <c r="K683" s="162">
        <v>3591329.2300000004</v>
      </c>
      <c r="L683" s="161"/>
      <c r="M683" s="162">
        <f>J683-D683</f>
        <v>0</v>
      </c>
      <c r="N683" s="200">
        <v>1</v>
      </c>
      <c r="O683" s="382"/>
      <c r="P683" s="176"/>
      <c r="Q683" s="177"/>
      <c r="R683" s="132"/>
      <c r="S683" s="18"/>
      <c r="T683" s="18"/>
      <c r="U683" s="19"/>
      <c r="V683" s="19"/>
    </row>
    <row r="684" spans="1:22" ht="49.5" outlineLevel="1" x14ac:dyDescent="0.25">
      <c r="A684" s="1028"/>
      <c r="B684" s="1026"/>
      <c r="C684" s="294" t="s">
        <v>37</v>
      </c>
      <c r="D684" s="180">
        <f>87651.97*1.18</f>
        <v>103429.32459999999</v>
      </c>
      <c r="E684" s="181" t="s">
        <v>544</v>
      </c>
      <c r="F684" s="181" t="s">
        <v>534</v>
      </c>
      <c r="G684" s="182">
        <f>87651.97*1.18</f>
        <v>103429.32459999999</v>
      </c>
      <c r="H684" s="183">
        <v>42384</v>
      </c>
      <c r="I684" s="183">
        <v>42461</v>
      </c>
      <c r="J684" s="184">
        <v>103429.32999999999</v>
      </c>
      <c r="K684" s="184">
        <v>103429.33</v>
      </c>
      <c r="L684" s="183"/>
      <c r="M684" s="184">
        <f>J684-D684</f>
        <v>5.3999999945517629E-3</v>
      </c>
      <c r="N684" s="202"/>
      <c r="O684" s="283" t="s">
        <v>706</v>
      </c>
      <c r="P684" s="176"/>
      <c r="Q684" s="177"/>
      <c r="R684" s="132"/>
    </row>
    <row r="685" spans="1:22" ht="17.25" outlineLevel="1" thickBot="1" x14ac:dyDescent="0.3">
      <c r="A685" s="1006" t="s">
        <v>628</v>
      </c>
      <c r="B685" s="1007"/>
      <c r="C685" s="364"/>
      <c r="D685" s="365">
        <f>SUM(D683:D684)</f>
        <v>3694758.5545999999</v>
      </c>
      <c r="E685" s="188"/>
      <c r="F685" s="188"/>
      <c r="G685" s="366">
        <f>SUM(G683:G684)</f>
        <v>3803429.3245999999</v>
      </c>
      <c r="H685" s="188"/>
      <c r="I685" s="190"/>
      <c r="J685" s="365">
        <f>SUM(J683:J684)</f>
        <v>3694758.5600000005</v>
      </c>
      <c r="K685" s="365">
        <f>SUM(K683:K684)</f>
        <v>3694758.5600000005</v>
      </c>
      <c r="L685" s="367"/>
      <c r="M685" s="365"/>
      <c r="N685" s="368">
        <f>AVERAGE(N683:N684)</f>
        <v>1</v>
      </c>
      <c r="O685" s="369"/>
      <c r="P685" s="176"/>
      <c r="Q685" s="177"/>
      <c r="R685" s="168"/>
      <c r="S685" s="19"/>
      <c r="T685" s="19"/>
    </row>
    <row r="686" spans="1:22" s="5" customFormat="1" ht="33" x14ac:dyDescent="0.25">
      <c r="A686" s="1027">
        <v>4</v>
      </c>
      <c r="B686" s="1025" t="s">
        <v>177</v>
      </c>
      <c r="C686" s="371" t="s">
        <v>501</v>
      </c>
      <c r="D686" s="372">
        <v>20540000</v>
      </c>
      <c r="E686" s="220" t="s">
        <v>1167</v>
      </c>
      <c r="F686" s="220" t="s">
        <v>828</v>
      </c>
      <c r="G686" s="463">
        <v>19289000</v>
      </c>
      <c r="H686" s="223">
        <v>42896</v>
      </c>
      <c r="I686" s="375"/>
      <c r="J686" s="221"/>
      <c r="K686" s="221">
        <v>1953800</v>
      </c>
      <c r="L686" s="223"/>
      <c r="M686" s="221"/>
      <c r="N686" s="376">
        <v>0</v>
      </c>
      <c r="O686" s="370"/>
      <c r="P686" s="176">
        <v>2017</v>
      </c>
      <c r="Q686" s="177"/>
      <c r="R686" s="132"/>
      <c r="S686" s="18"/>
      <c r="T686" s="18"/>
      <c r="U686" s="19"/>
      <c r="V686" s="19"/>
    </row>
    <row r="687" spans="1:22" ht="49.5" outlineLevel="1" x14ac:dyDescent="0.25">
      <c r="A687" s="1028"/>
      <c r="B687" s="1026"/>
      <c r="C687" s="294" t="s">
        <v>37</v>
      </c>
      <c r="D687" s="180">
        <f>87826.58*1.18</f>
        <v>103635.36439999999</v>
      </c>
      <c r="E687" s="181" t="s">
        <v>544</v>
      </c>
      <c r="F687" s="181" t="s">
        <v>534</v>
      </c>
      <c r="G687" s="182">
        <f>87826.58*1.18</f>
        <v>103635.36439999999</v>
      </c>
      <c r="H687" s="183">
        <v>42384</v>
      </c>
      <c r="I687" s="183">
        <v>41730</v>
      </c>
      <c r="J687" s="184">
        <v>103635.36</v>
      </c>
      <c r="K687" s="184">
        <v>103635.36</v>
      </c>
      <c r="L687" s="183"/>
      <c r="M687" s="184">
        <f>J687-D687</f>
        <v>-4.3999999907100573E-3</v>
      </c>
      <c r="N687" s="202"/>
      <c r="O687" s="283" t="s">
        <v>706</v>
      </c>
      <c r="P687" s="176"/>
      <c r="Q687" s="177"/>
      <c r="R687" s="132"/>
    </row>
    <row r="688" spans="1:22" ht="17.25" outlineLevel="1" thickBot="1" x14ac:dyDescent="0.3">
      <c r="A688" s="1006" t="s">
        <v>628</v>
      </c>
      <c r="B688" s="1007"/>
      <c r="C688" s="364"/>
      <c r="D688" s="365">
        <f>SUM(D686:D687)</f>
        <v>20643635.364399999</v>
      </c>
      <c r="E688" s="239"/>
      <c r="F688" s="239"/>
      <c r="G688" s="366">
        <f>SUM(G686:G687)</f>
        <v>19392635.364399999</v>
      </c>
      <c r="H688" s="239"/>
      <c r="I688" s="321"/>
      <c r="J688" s="365">
        <f>SUM(J686:J687)</f>
        <v>103635.36</v>
      </c>
      <c r="K688" s="365">
        <f>SUM(K686:K687)</f>
        <v>2057435.36</v>
      </c>
      <c r="L688" s="367"/>
      <c r="M688" s="365"/>
      <c r="N688" s="368">
        <f>AVERAGE(N686:N687)</f>
        <v>0</v>
      </c>
      <c r="O688" s="369"/>
      <c r="P688" s="176"/>
      <c r="Q688" s="177"/>
      <c r="R688" s="132"/>
    </row>
    <row r="689" spans="1:22" s="5" customFormat="1" ht="82.5" x14ac:dyDescent="0.25">
      <c r="A689" s="396">
        <v>5</v>
      </c>
      <c r="B689" s="397" t="s">
        <v>175</v>
      </c>
      <c r="C689" s="197" t="s">
        <v>34</v>
      </c>
      <c r="D689" s="162">
        <v>3160081</v>
      </c>
      <c r="E689" s="197" t="s">
        <v>857</v>
      </c>
      <c r="F689" s="197" t="s">
        <v>858</v>
      </c>
      <c r="G689" s="353">
        <v>3160080.82</v>
      </c>
      <c r="H689" s="161">
        <v>42510</v>
      </c>
      <c r="I689" s="161">
        <v>42719</v>
      </c>
      <c r="J689" s="162">
        <v>2728046.43</v>
      </c>
      <c r="K689" s="162">
        <v>2728046.43</v>
      </c>
      <c r="L689" s="161"/>
      <c r="M689" s="162"/>
      <c r="N689" s="200">
        <v>1</v>
      </c>
      <c r="O689" s="370"/>
      <c r="P689" s="176"/>
      <c r="Q689" s="526" t="s">
        <v>1129</v>
      </c>
      <c r="R689" s="132"/>
      <c r="S689" s="18"/>
      <c r="T689" s="18"/>
      <c r="U689" s="19"/>
      <c r="V689" s="19"/>
    </row>
    <row r="690" spans="1:22" ht="17.25" outlineLevel="1" thickBot="1" x14ac:dyDescent="0.3">
      <c r="A690" s="1010" t="s">
        <v>628</v>
      </c>
      <c r="B690" s="1011"/>
      <c r="C690" s="377"/>
      <c r="D690" s="365">
        <f>SUM(D689:D689)</f>
        <v>3160081</v>
      </c>
      <c r="E690" s="247"/>
      <c r="F690" s="247"/>
      <c r="G690" s="366">
        <f>SUM(G689:G689)</f>
        <v>3160080.82</v>
      </c>
      <c r="H690" s="247"/>
      <c r="I690" s="277"/>
      <c r="J690" s="365">
        <f>SUM(J689:J689)</f>
        <v>2728046.43</v>
      </c>
      <c r="K690" s="365">
        <f>SUM(K689:K689)</f>
        <v>2728046.43</v>
      </c>
      <c r="L690" s="380"/>
      <c r="M690" s="378"/>
      <c r="N690" s="368">
        <f>AVERAGE(N689)</f>
        <v>1</v>
      </c>
      <c r="O690" s="381"/>
      <c r="P690" s="176"/>
      <c r="Q690" s="177"/>
      <c r="R690" s="132"/>
    </row>
    <row r="691" spans="1:22" s="5" customFormat="1" ht="82.5" x14ac:dyDescent="0.25">
      <c r="A691" s="396">
        <v>6</v>
      </c>
      <c r="B691" s="397" t="s">
        <v>176</v>
      </c>
      <c r="C691" s="197" t="s">
        <v>35</v>
      </c>
      <c r="D691" s="162">
        <v>2158331.5499999998</v>
      </c>
      <c r="E691" s="197" t="s">
        <v>857</v>
      </c>
      <c r="F691" s="197" t="s">
        <v>858</v>
      </c>
      <c r="G691" s="353">
        <v>2158331.5499999998</v>
      </c>
      <c r="H691" s="161">
        <v>42490</v>
      </c>
      <c r="I691" s="161">
        <v>42719</v>
      </c>
      <c r="J691" s="162">
        <v>2026673.65</v>
      </c>
      <c r="K691" s="162">
        <v>2026673.65</v>
      </c>
      <c r="L691" s="161"/>
      <c r="M691" s="162"/>
      <c r="N691" s="200">
        <v>1</v>
      </c>
      <c r="O691" s="370"/>
      <c r="P691" s="176"/>
      <c r="Q691" s="526" t="s">
        <v>1129</v>
      </c>
      <c r="R691" s="132"/>
      <c r="S691" s="18"/>
      <c r="T691" s="18"/>
      <c r="U691" s="19"/>
      <c r="V691" s="19"/>
    </row>
    <row r="692" spans="1:22" ht="17.25" outlineLevel="1" thickBot="1" x14ac:dyDescent="0.3">
      <c r="A692" s="1006" t="s">
        <v>628</v>
      </c>
      <c r="B692" s="1007"/>
      <c r="C692" s="364"/>
      <c r="D692" s="365">
        <f>SUM(D691:D691)</f>
        <v>2158331.5499999998</v>
      </c>
      <c r="E692" s="239"/>
      <c r="F692" s="239"/>
      <c r="G692" s="366">
        <f>SUM(G691:G691)</f>
        <v>2158331.5499999998</v>
      </c>
      <c r="H692" s="239"/>
      <c r="I692" s="321"/>
      <c r="J692" s="365">
        <f>SUM(J691:J691)</f>
        <v>2026673.65</v>
      </c>
      <c r="K692" s="365">
        <f>SUM(K691:K691)</f>
        <v>2026673.65</v>
      </c>
      <c r="L692" s="367"/>
      <c r="M692" s="365"/>
      <c r="N692" s="368">
        <f>AVERAGE(N691)</f>
        <v>1</v>
      </c>
      <c r="O692" s="369"/>
      <c r="P692" s="176"/>
      <c r="Q692" s="177"/>
      <c r="R692" s="132"/>
    </row>
    <row r="693" spans="1:22" s="5" customFormat="1" ht="33" x14ac:dyDescent="0.25">
      <c r="A693" s="1027">
        <v>7</v>
      </c>
      <c r="B693" s="1025" t="s">
        <v>178</v>
      </c>
      <c r="C693" s="371" t="s">
        <v>501</v>
      </c>
      <c r="D693" s="372">
        <v>6460000</v>
      </c>
      <c r="E693" s="220" t="s">
        <v>1182</v>
      </c>
      <c r="F693" s="220" t="s">
        <v>1006</v>
      </c>
      <c r="G693" s="463">
        <v>5200000</v>
      </c>
      <c r="H693" s="223">
        <v>42725</v>
      </c>
      <c r="I693" s="375"/>
      <c r="J693" s="221"/>
      <c r="K693" s="221"/>
      <c r="L693" s="223"/>
      <c r="M693" s="221"/>
      <c r="N693" s="164">
        <v>0.15</v>
      </c>
      <c r="O693" s="370"/>
      <c r="P693" s="176">
        <v>2017</v>
      </c>
      <c r="Q693" s="177"/>
      <c r="R693" s="132"/>
      <c r="S693" s="18"/>
      <c r="T693" s="18"/>
      <c r="U693" s="19"/>
      <c r="V693" s="19"/>
    </row>
    <row r="694" spans="1:22" ht="49.5" outlineLevel="1" x14ac:dyDescent="0.25">
      <c r="A694" s="1028"/>
      <c r="B694" s="1026"/>
      <c r="C694" s="356" t="s">
        <v>37</v>
      </c>
      <c r="D694" s="357">
        <v>95560</v>
      </c>
      <c r="E694" s="358" t="s">
        <v>544</v>
      </c>
      <c r="F694" s="358" t="s">
        <v>534</v>
      </c>
      <c r="G694" s="359">
        <f>80985.87*1.18</f>
        <v>95563.326599999986</v>
      </c>
      <c r="H694" s="360">
        <v>42384</v>
      </c>
      <c r="I694" s="393"/>
      <c r="J694" s="361"/>
      <c r="K694" s="361"/>
      <c r="L694" s="360"/>
      <c r="M694" s="361"/>
      <c r="N694" s="362"/>
      <c r="O694" s="466" t="s">
        <v>695</v>
      </c>
      <c r="P694" s="176"/>
      <c r="Q694" s="177"/>
      <c r="R694" s="168"/>
      <c r="S694" s="19"/>
      <c r="T694" s="19"/>
    </row>
    <row r="695" spans="1:22" ht="17.25" outlineLevel="1" thickBot="1" x14ac:dyDescent="0.3">
      <c r="A695" s="1006" t="s">
        <v>628</v>
      </c>
      <c r="B695" s="1007"/>
      <c r="C695" s="364"/>
      <c r="D695" s="365">
        <f>SUM(D693:D694)</f>
        <v>6555560</v>
      </c>
      <c r="E695" s="239"/>
      <c r="F695" s="239"/>
      <c r="G695" s="366">
        <f>SUM(G693:G694)</f>
        <v>5295563.3266000003</v>
      </c>
      <c r="H695" s="239"/>
      <c r="I695" s="277"/>
      <c r="J695" s="365">
        <f>SUM(J693:J694)</f>
        <v>0</v>
      </c>
      <c r="K695" s="365">
        <f>SUM(K693:K694)</f>
        <v>0</v>
      </c>
      <c r="L695" s="367"/>
      <c r="M695" s="365"/>
      <c r="N695" s="368">
        <f>AVERAGE(N693:N694)</f>
        <v>0.15</v>
      </c>
      <c r="O695" s="369"/>
      <c r="P695" s="176"/>
      <c r="Q695" s="177"/>
      <c r="R695" s="132"/>
    </row>
    <row r="696" spans="1:22" s="8" customFormat="1" ht="19.5" customHeight="1" outlineLevel="1" thickBot="1" x14ac:dyDescent="0.3">
      <c r="A696" s="436"/>
      <c r="B696" s="1040" t="s">
        <v>1097</v>
      </c>
      <c r="C696" s="1041"/>
      <c r="D696" s="324">
        <v>948194.09</v>
      </c>
      <c r="E696" s="325"/>
      <c r="F696" s="326"/>
      <c r="G696" s="327">
        <f>SUM(G697:G700)</f>
        <v>948194.09000000008</v>
      </c>
      <c r="H696" s="328"/>
      <c r="I696" s="172"/>
      <c r="J696" s="437">
        <f>SUM(J697:J700)</f>
        <v>803554.30999999994</v>
      </c>
      <c r="K696" s="437">
        <f>SUM(K697:K700)</f>
        <v>803554.30999999994</v>
      </c>
      <c r="L696" s="443"/>
      <c r="M696" s="437"/>
      <c r="N696" s="444"/>
      <c r="O696" s="445"/>
      <c r="P696" s="176"/>
      <c r="Q696" s="446"/>
      <c r="R696" s="335"/>
      <c r="S696" s="2"/>
      <c r="T696" s="2"/>
      <c r="U696" s="2"/>
      <c r="V696" s="2"/>
    </row>
    <row r="697" spans="1:22" s="8" customFormat="1" ht="25.5" customHeight="1" outlineLevel="1" x14ac:dyDescent="0.25">
      <c r="A697" s="609"/>
      <c r="B697" s="336" t="s">
        <v>1416</v>
      </c>
      <c r="C697" s="253" t="s">
        <v>37</v>
      </c>
      <c r="D697" s="414"/>
      <c r="E697" s="990" t="s">
        <v>1420</v>
      </c>
      <c r="F697" s="993" t="s">
        <v>1415</v>
      </c>
      <c r="G697" s="208">
        <v>399993.13</v>
      </c>
      <c r="H697" s="1044">
        <v>42736</v>
      </c>
      <c r="I697" s="210">
        <v>42744</v>
      </c>
      <c r="J697" s="159">
        <v>338977.23</v>
      </c>
      <c r="K697" s="159">
        <v>338977.23</v>
      </c>
      <c r="L697" s="1042">
        <v>42772</v>
      </c>
      <c r="M697" s="610"/>
      <c r="N697" s="611"/>
      <c r="O697" s="578"/>
      <c r="P697" s="176"/>
      <c r="Q697" s="446"/>
      <c r="R697" s="335"/>
      <c r="S697" s="2"/>
      <c r="T697" s="2"/>
      <c r="U697" s="2"/>
      <c r="V697" s="2"/>
    </row>
    <row r="698" spans="1:22" s="8" customFormat="1" ht="33.75" customHeight="1" outlineLevel="1" x14ac:dyDescent="0.25">
      <c r="A698" s="609"/>
      <c r="B698" s="336" t="s">
        <v>1417</v>
      </c>
      <c r="C698" s="253" t="s">
        <v>37</v>
      </c>
      <c r="D698" s="414"/>
      <c r="E698" s="991"/>
      <c r="F698" s="994"/>
      <c r="G698" s="208">
        <v>78419.899999999994</v>
      </c>
      <c r="H698" s="976"/>
      <c r="I698" s="210">
        <v>42744</v>
      </c>
      <c r="J698" s="259">
        <v>66457.539999999994</v>
      </c>
      <c r="K698" s="259">
        <v>66457.539999999994</v>
      </c>
      <c r="L698" s="1102"/>
      <c r="M698" s="610"/>
      <c r="N698" s="611"/>
      <c r="O698" s="578"/>
      <c r="P698" s="176"/>
      <c r="Q698" s="446"/>
      <c r="R698" s="335"/>
      <c r="S698" s="2"/>
      <c r="T698" s="2"/>
      <c r="U698" s="2"/>
      <c r="V698" s="2"/>
    </row>
    <row r="699" spans="1:22" s="8" customFormat="1" ht="27.75" customHeight="1" outlineLevel="1" x14ac:dyDescent="0.25">
      <c r="A699" s="609"/>
      <c r="B699" s="336" t="s">
        <v>1418</v>
      </c>
      <c r="C699" s="253" t="s">
        <v>37</v>
      </c>
      <c r="D699" s="414"/>
      <c r="E699" s="991"/>
      <c r="F699" s="994"/>
      <c r="G699" s="208">
        <v>79590.27</v>
      </c>
      <c r="H699" s="976"/>
      <c r="I699" s="210">
        <v>42744</v>
      </c>
      <c r="J699" s="314">
        <v>67449.38</v>
      </c>
      <c r="K699" s="314">
        <v>67449.38</v>
      </c>
      <c r="L699" s="1102"/>
      <c r="M699" s="610"/>
      <c r="N699" s="611"/>
      <c r="O699" s="578"/>
      <c r="P699" s="176"/>
      <c r="Q699" s="446"/>
      <c r="R699" s="335"/>
      <c r="S699" s="2"/>
      <c r="T699" s="2"/>
      <c r="U699" s="2"/>
      <c r="V699" s="2"/>
    </row>
    <row r="700" spans="1:22" s="8" customFormat="1" ht="33.75" customHeight="1" outlineLevel="1" x14ac:dyDescent="0.25">
      <c r="A700" s="609"/>
      <c r="B700" s="336" t="s">
        <v>1419</v>
      </c>
      <c r="C700" s="253" t="s">
        <v>37</v>
      </c>
      <c r="D700" s="414"/>
      <c r="E700" s="992"/>
      <c r="F700" s="995"/>
      <c r="G700" s="208">
        <v>390190.79</v>
      </c>
      <c r="H700" s="977"/>
      <c r="I700" s="210">
        <v>42744</v>
      </c>
      <c r="J700" s="314">
        <v>330670.15999999997</v>
      </c>
      <c r="K700" s="314">
        <v>330670.15999999997</v>
      </c>
      <c r="L700" s="1102"/>
      <c r="M700" s="610"/>
      <c r="N700" s="611"/>
      <c r="O700" s="578"/>
      <c r="P700" s="176"/>
      <c r="Q700" s="446"/>
      <c r="R700" s="335"/>
      <c r="S700" s="2"/>
      <c r="T700" s="2"/>
      <c r="U700" s="2"/>
      <c r="V700" s="2"/>
    </row>
    <row r="701" spans="1:22" ht="17.25" outlineLevel="1" thickBot="1" x14ac:dyDescent="0.3">
      <c r="A701" s="1134" t="s">
        <v>629</v>
      </c>
      <c r="B701" s="1135"/>
      <c r="C701" s="612"/>
      <c r="D701" s="613">
        <f>SUM(D695,D692,D690,D688,D685,D682,D680,D696)</f>
        <v>41416219.269000001</v>
      </c>
      <c r="E701" s="612"/>
      <c r="F701" s="612"/>
      <c r="G701" s="614">
        <f>SUM(G695,G692,G690,G688,G685,G682,G680,G696)</f>
        <v>39013893.185600005</v>
      </c>
      <c r="H701" s="612"/>
      <c r="I701" s="615"/>
      <c r="J701" s="613">
        <f>SUM(J695,J692,J690,J688,J685,J682,J680,J696)</f>
        <v>13350019.58</v>
      </c>
      <c r="K701" s="613">
        <f>SUM(K695,K692,K690,K688,K685,K682,K680,K696)</f>
        <v>15303819.58</v>
      </c>
      <c r="L701" s="616"/>
      <c r="M701" s="613"/>
      <c r="N701" s="617">
        <f>AVERAGE(N695,N692,N690,N688,N685,N682,N680)</f>
        <v>0.73571428571428577</v>
      </c>
      <c r="O701" s="618"/>
      <c r="P701" s="176"/>
      <c r="Q701" s="177"/>
      <c r="R701" s="132"/>
    </row>
    <row r="702" spans="1:22" s="5" customFormat="1" ht="24.75" customHeight="1" thickBot="1" x14ac:dyDescent="0.3">
      <c r="A702" s="1034" t="s">
        <v>639</v>
      </c>
      <c r="B702" s="1035"/>
      <c r="C702" s="1035"/>
      <c r="D702" s="1035"/>
      <c r="E702" s="1035"/>
      <c r="F702" s="1035"/>
      <c r="G702" s="1035"/>
      <c r="H702" s="1035"/>
      <c r="I702" s="1035"/>
      <c r="J702" s="1035"/>
      <c r="K702" s="1035"/>
      <c r="L702" s="1035"/>
      <c r="M702" s="1035"/>
      <c r="N702" s="1035"/>
      <c r="O702" s="1035"/>
      <c r="P702" s="176"/>
      <c r="Q702" s="177"/>
      <c r="R702" s="132"/>
      <c r="S702" s="18"/>
      <c r="T702" s="18"/>
      <c r="U702" s="19"/>
      <c r="V702" s="19"/>
    </row>
    <row r="703" spans="1:22" s="5" customFormat="1" ht="33" x14ac:dyDescent="0.25">
      <c r="A703" s="1027">
        <v>1</v>
      </c>
      <c r="B703" s="1025" t="s">
        <v>180</v>
      </c>
      <c r="C703" s="197" t="s">
        <v>38</v>
      </c>
      <c r="D703" s="162">
        <v>570727.93999999994</v>
      </c>
      <c r="E703" s="197" t="s">
        <v>590</v>
      </c>
      <c r="F703" s="197" t="s">
        <v>589</v>
      </c>
      <c r="G703" s="353">
        <v>665199.33335375832</v>
      </c>
      <c r="H703" s="161">
        <v>42551</v>
      </c>
      <c r="I703" s="161">
        <v>42467</v>
      </c>
      <c r="J703" s="162">
        <v>564556.65</v>
      </c>
      <c r="K703" s="162">
        <v>564556.65</v>
      </c>
      <c r="L703" s="161"/>
      <c r="M703" s="162">
        <f>J703-D703</f>
        <v>-6171.2899999999208</v>
      </c>
      <c r="N703" s="200">
        <v>1</v>
      </c>
      <c r="O703" s="382"/>
      <c r="P703" s="176"/>
      <c r="Q703" s="497"/>
      <c r="R703" s="496"/>
      <c r="S703" s="21"/>
      <c r="T703" s="18"/>
      <c r="U703" s="19"/>
      <c r="V703" s="19"/>
    </row>
    <row r="704" spans="1:22" ht="24.75" customHeight="1" outlineLevel="1" x14ac:dyDescent="0.25">
      <c r="A704" s="1028"/>
      <c r="B704" s="1026"/>
      <c r="C704" s="253" t="s">
        <v>34</v>
      </c>
      <c r="D704" s="163">
        <v>3501230.98</v>
      </c>
      <c r="E704" s="253" t="s">
        <v>657</v>
      </c>
      <c r="F704" s="253" t="s">
        <v>591</v>
      </c>
      <c r="G704" s="354">
        <v>3575132.14</v>
      </c>
      <c r="H704" s="210">
        <v>42612</v>
      </c>
      <c r="I704" s="210">
        <v>42592</v>
      </c>
      <c r="J704" s="163">
        <v>3501230.98</v>
      </c>
      <c r="K704" s="163">
        <v>3501230.98</v>
      </c>
      <c r="L704" s="210"/>
      <c r="M704" s="163"/>
      <c r="N704" s="213">
        <v>1</v>
      </c>
      <c r="O704" s="531"/>
      <c r="P704" s="176"/>
      <c r="Q704" s="201" t="s">
        <v>1116</v>
      </c>
      <c r="R704" s="496"/>
    </row>
    <row r="705" spans="1:22" ht="33" outlineLevel="1" x14ac:dyDescent="0.25">
      <c r="A705" s="1028"/>
      <c r="B705" s="1026"/>
      <c r="C705" s="253" t="s">
        <v>35</v>
      </c>
      <c r="D705" s="163">
        <v>449789.04</v>
      </c>
      <c r="E705" s="253" t="s">
        <v>657</v>
      </c>
      <c r="F705" s="253" t="s">
        <v>591</v>
      </c>
      <c r="G705" s="354">
        <v>520881.5</v>
      </c>
      <c r="H705" s="210">
        <v>42475</v>
      </c>
      <c r="I705" s="210">
        <v>42454</v>
      </c>
      <c r="J705" s="163">
        <v>449789.04</v>
      </c>
      <c r="K705" s="163">
        <v>449789.04</v>
      </c>
      <c r="L705" s="210"/>
      <c r="M705" s="498">
        <f>J705-D705</f>
        <v>0</v>
      </c>
      <c r="N705" s="213">
        <v>1</v>
      </c>
      <c r="O705" s="531"/>
      <c r="P705" s="176"/>
      <c r="Q705" s="177"/>
      <c r="R705" s="496"/>
    </row>
    <row r="706" spans="1:22" ht="33" outlineLevel="1" x14ac:dyDescent="0.25">
      <c r="A706" s="1028"/>
      <c r="B706" s="1026"/>
      <c r="C706" s="253" t="s">
        <v>36</v>
      </c>
      <c r="D706" s="163">
        <v>331779.96999999997</v>
      </c>
      <c r="E706" s="253" t="s">
        <v>657</v>
      </c>
      <c r="F706" s="253" t="s">
        <v>591</v>
      </c>
      <c r="G706" s="354">
        <v>376554.52</v>
      </c>
      <c r="H706" s="210">
        <v>42475</v>
      </c>
      <c r="I706" s="210">
        <v>42454</v>
      </c>
      <c r="J706" s="163">
        <v>331779.96999999997</v>
      </c>
      <c r="K706" s="163">
        <v>331779.96999999997</v>
      </c>
      <c r="L706" s="210"/>
      <c r="M706" s="163">
        <f>J706-D706</f>
        <v>0</v>
      </c>
      <c r="N706" s="213">
        <v>1</v>
      </c>
      <c r="O706" s="531"/>
      <c r="P706" s="176"/>
      <c r="Q706" s="177"/>
      <c r="R706" s="496"/>
    </row>
    <row r="707" spans="1:22" ht="33" outlineLevel="1" x14ac:dyDescent="0.25">
      <c r="A707" s="1028"/>
      <c r="B707" s="1026"/>
      <c r="C707" s="253" t="s">
        <v>500</v>
      </c>
      <c r="D707" s="163">
        <v>3663694.4</v>
      </c>
      <c r="E707" s="253" t="s">
        <v>626</v>
      </c>
      <c r="F707" s="253" t="s">
        <v>592</v>
      </c>
      <c r="G707" s="354">
        <v>3663699.4</v>
      </c>
      <c r="H707" s="210">
        <v>42459</v>
      </c>
      <c r="I707" s="210">
        <v>42454</v>
      </c>
      <c r="J707" s="163">
        <v>3299723.72</v>
      </c>
      <c r="K707" s="163">
        <v>3299723.72</v>
      </c>
      <c r="L707" s="210">
        <v>42720</v>
      </c>
      <c r="M707" s="163"/>
      <c r="N707" s="213">
        <v>1</v>
      </c>
      <c r="O707" s="531"/>
      <c r="P707" s="176"/>
      <c r="Q707" s="530" t="s">
        <v>1128</v>
      </c>
      <c r="R707" s="496"/>
    </row>
    <row r="708" spans="1:22" ht="33" outlineLevel="1" x14ac:dyDescent="0.25">
      <c r="A708" s="1028"/>
      <c r="B708" s="1026"/>
      <c r="C708" s="253" t="s">
        <v>515</v>
      </c>
      <c r="D708" s="163">
        <v>764132.6</v>
      </c>
      <c r="E708" s="273" t="s">
        <v>760</v>
      </c>
      <c r="F708" s="253" t="s">
        <v>761</v>
      </c>
      <c r="G708" s="354">
        <v>792659.1</v>
      </c>
      <c r="H708" s="210">
        <v>42583</v>
      </c>
      <c r="I708" s="619">
        <v>42566</v>
      </c>
      <c r="J708" s="163">
        <v>764132.6</v>
      </c>
      <c r="K708" s="163">
        <v>764132.6</v>
      </c>
      <c r="L708" s="210"/>
      <c r="M708" s="163"/>
      <c r="N708" s="213">
        <v>1</v>
      </c>
      <c r="O708" s="531"/>
      <c r="P708" s="176"/>
      <c r="Q708" s="497"/>
      <c r="R708" s="620"/>
      <c r="S708" s="19"/>
      <c r="T708" s="19"/>
    </row>
    <row r="709" spans="1:22" s="75" customFormat="1" ht="33" outlineLevel="1" x14ac:dyDescent="0.25">
      <c r="A709" s="1028"/>
      <c r="B709" s="1026"/>
      <c r="C709" s="253" t="s">
        <v>1076</v>
      </c>
      <c r="D709" s="163">
        <v>48476.37</v>
      </c>
      <c r="E709" s="273" t="s">
        <v>1077</v>
      </c>
      <c r="F709" s="253" t="s">
        <v>1078</v>
      </c>
      <c r="G709" s="163">
        <v>48476.37</v>
      </c>
      <c r="H709" s="210"/>
      <c r="I709" s="621">
        <v>42604</v>
      </c>
      <c r="J709" s="163">
        <v>48476.37</v>
      </c>
      <c r="K709" s="163">
        <v>48476.37</v>
      </c>
      <c r="L709" s="210"/>
      <c r="M709" s="163"/>
      <c r="N709" s="213">
        <v>1</v>
      </c>
      <c r="O709" s="531"/>
      <c r="P709" s="457"/>
      <c r="Q709" s="622"/>
      <c r="R709" s="623"/>
      <c r="S709" s="68"/>
      <c r="T709" s="68"/>
      <c r="U709" s="67"/>
      <c r="V709" s="67"/>
    </row>
    <row r="710" spans="1:22" ht="49.5" outlineLevel="1" x14ac:dyDescent="0.25">
      <c r="A710" s="1028"/>
      <c r="B710" s="1026"/>
      <c r="C710" s="294" t="s">
        <v>37</v>
      </c>
      <c r="D710" s="180">
        <f>82413.31*1.18</f>
        <v>97247.705799999996</v>
      </c>
      <c r="E710" s="181" t="s">
        <v>559</v>
      </c>
      <c r="F710" s="181" t="s">
        <v>535</v>
      </c>
      <c r="G710" s="182">
        <f>82413.31*1.18</f>
        <v>97247.705799999996</v>
      </c>
      <c r="H710" s="183">
        <v>42458</v>
      </c>
      <c r="I710" s="183">
        <v>42408</v>
      </c>
      <c r="J710" s="184">
        <v>97247.7</v>
      </c>
      <c r="K710" s="184">
        <v>97247.7</v>
      </c>
      <c r="L710" s="183"/>
      <c r="M710" s="184">
        <f>J710-D710</f>
        <v>-5.7999999989988282E-3</v>
      </c>
      <c r="N710" s="202"/>
      <c r="O710" s="283" t="s">
        <v>707</v>
      </c>
      <c r="P710" s="176"/>
      <c r="Q710" s="177"/>
      <c r="R710" s="496"/>
    </row>
    <row r="711" spans="1:22" ht="17.25" outlineLevel="1" thickBot="1" x14ac:dyDescent="0.3">
      <c r="A711" s="1006" t="s">
        <v>628</v>
      </c>
      <c r="B711" s="1007"/>
      <c r="C711" s="364"/>
      <c r="D711" s="365">
        <f>SUM(D703:D710)</f>
        <v>9427079.0057999995</v>
      </c>
      <c r="E711" s="239"/>
      <c r="F711" s="239"/>
      <c r="G711" s="366">
        <f>SUM(G703:G710)</f>
        <v>9739850.0691537578</v>
      </c>
      <c r="H711" s="239"/>
      <c r="I711" s="494"/>
      <c r="J711" s="365">
        <f>SUM(J703:J710)</f>
        <v>9056937.0299999975</v>
      </c>
      <c r="K711" s="365">
        <f>SUM(K703:K710)</f>
        <v>9056937.0299999975</v>
      </c>
      <c r="L711" s="367"/>
      <c r="M711" s="365"/>
      <c r="N711" s="368">
        <f>AVERAGE(N703:N710)</f>
        <v>1</v>
      </c>
      <c r="O711" s="369"/>
      <c r="P711" s="241"/>
      <c r="Q711" s="624"/>
      <c r="R711" s="496"/>
    </row>
    <row r="712" spans="1:22" s="5" customFormat="1" ht="33" x14ac:dyDescent="0.25">
      <c r="A712" s="1027">
        <v>2</v>
      </c>
      <c r="B712" s="1025" t="s">
        <v>181</v>
      </c>
      <c r="C712" s="197" t="s">
        <v>38</v>
      </c>
      <c r="D712" s="162">
        <v>497025.1</v>
      </c>
      <c r="E712" s="197" t="s">
        <v>590</v>
      </c>
      <c r="F712" s="197" t="s">
        <v>589</v>
      </c>
      <c r="G712" s="353">
        <v>548328.84911927755</v>
      </c>
      <c r="H712" s="161">
        <v>42551</v>
      </c>
      <c r="I712" s="161">
        <v>42537</v>
      </c>
      <c r="J712" s="162">
        <v>497025.1</v>
      </c>
      <c r="K712" s="162">
        <v>497025.1</v>
      </c>
      <c r="L712" s="161">
        <v>42695</v>
      </c>
      <c r="M712" s="162"/>
      <c r="N712" s="200">
        <v>1</v>
      </c>
      <c r="O712" s="370"/>
      <c r="P712" s="166"/>
      <c r="Q712" s="201" t="s">
        <v>1116</v>
      </c>
      <c r="R712" s="496"/>
      <c r="S712" s="19"/>
      <c r="T712" s="19"/>
      <c r="U712" s="19"/>
      <c r="V712" s="19"/>
    </row>
    <row r="713" spans="1:22" ht="33" outlineLevel="1" x14ac:dyDescent="0.25">
      <c r="A713" s="1028"/>
      <c r="B713" s="1026"/>
      <c r="C713" s="253" t="s">
        <v>34</v>
      </c>
      <c r="D713" s="163">
        <v>3256567.84</v>
      </c>
      <c r="E713" s="253" t="s">
        <v>657</v>
      </c>
      <c r="F713" s="253" t="s">
        <v>591</v>
      </c>
      <c r="G713" s="354">
        <v>3536308.96</v>
      </c>
      <c r="H713" s="210">
        <v>42612</v>
      </c>
      <c r="I713" s="210">
        <v>42592</v>
      </c>
      <c r="J713" s="163">
        <v>3256567.84</v>
      </c>
      <c r="K713" s="163">
        <v>3256567.84</v>
      </c>
      <c r="L713" s="210"/>
      <c r="M713" s="163"/>
      <c r="N713" s="207">
        <v>1</v>
      </c>
      <c r="O713" s="398"/>
      <c r="P713" s="176"/>
      <c r="Q713" s="201" t="s">
        <v>1116</v>
      </c>
      <c r="R713" s="496"/>
    </row>
    <row r="714" spans="1:22" ht="33" outlineLevel="1" x14ac:dyDescent="0.25">
      <c r="A714" s="1028"/>
      <c r="B714" s="1026"/>
      <c r="C714" s="253" t="s">
        <v>35</v>
      </c>
      <c r="D714" s="163">
        <v>431957.25</v>
      </c>
      <c r="E714" s="253" t="s">
        <v>657</v>
      </c>
      <c r="F714" s="253" t="s">
        <v>591</v>
      </c>
      <c r="G714" s="354">
        <v>530651.9</v>
      </c>
      <c r="H714" s="210">
        <v>42475</v>
      </c>
      <c r="I714" s="210">
        <v>42454</v>
      </c>
      <c r="J714" s="163">
        <v>431957.25</v>
      </c>
      <c r="K714" s="163">
        <v>431957.25</v>
      </c>
      <c r="L714" s="210"/>
      <c r="M714" s="163">
        <f>J714-D714</f>
        <v>0</v>
      </c>
      <c r="N714" s="213">
        <v>1</v>
      </c>
      <c r="O714" s="531"/>
      <c r="P714" s="176"/>
      <c r="Q714" s="177"/>
      <c r="R714" s="496"/>
    </row>
    <row r="715" spans="1:22" ht="33" outlineLevel="1" x14ac:dyDescent="0.25">
      <c r="A715" s="1028"/>
      <c r="B715" s="1026"/>
      <c r="C715" s="253" t="s">
        <v>36</v>
      </c>
      <c r="D715" s="163">
        <v>308929.33</v>
      </c>
      <c r="E715" s="253" t="s">
        <v>657</v>
      </c>
      <c r="F715" s="253" t="s">
        <v>591</v>
      </c>
      <c r="G715" s="354">
        <v>376554.52</v>
      </c>
      <c r="H715" s="210">
        <v>42475</v>
      </c>
      <c r="I715" s="210">
        <v>42454</v>
      </c>
      <c r="J715" s="163">
        <v>308929.32999999996</v>
      </c>
      <c r="K715" s="163">
        <v>308929.32999999996</v>
      </c>
      <c r="L715" s="210"/>
      <c r="M715" s="163">
        <f>J715-D715</f>
        <v>0</v>
      </c>
      <c r="N715" s="213">
        <v>1</v>
      </c>
      <c r="O715" s="531"/>
      <c r="P715" s="176"/>
      <c r="Q715" s="177"/>
      <c r="R715" s="496"/>
    </row>
    <row r="716" spans="1:22" ht="28.5" customHeight="1" outlineLevel="1" x14ac:dyDescent="0.25">
      <c r="A716" s="1028"/>
      <c r="B716" s="1026"/>
      <c r="C716" s="253" t="s">
        <v>500</v>
      </c>
      <c r="D716" s="163">
        <v>3771351.98</v>
      </c>
      <c r="E716" s="253" t="s">
        <v>626</v>
      </c>
      <c r="F716" s="253" t="s">
        <v>592</v>
      </c>
      <c r="G716" s="354">
        <v>3771351.98</v>
      </c>
      <c r="H716" s="210">
        <v>42459</v>
      </c>
      <c r="I716" s="210">
        <v>42454</v>
      </c>
      <c r="J716" s="163">
        <v>3326974.94</v>
      </c>
      <c r="K716" s="163">
        <v>3326974.94</v>
      </c>
      <c r="L716" s="210">
        <v>42720</v>
      </c>
      <c r="M716" s="163"/>
      <c r="N716" s="213">
        <v>1</v>
      </c>
      <c r="O716" s="625"/>
      <c r="P716" s="176"/>
      <c r="Q716" s="530" t="s">
        <v>1128</v>
      </c>
      <c r="R716" s="496"/>
    </row>
    <row r="717" spans="1:22" ht="33" outlineLevel="1" x14ac:dyDescent="0.25">
      <c r="A717" s="1028"/>
      <c r="B717" s="1026"/>
      <c r="C717" s="253" t="s">
        <v>515</v>
      </c>
      <c r="D717" s="163">
        <v>741522.62</v>
      </c>
      <c r="E717" s="273" t="s">
        <v>760</v>
      </c>
      <c r="F717" s="253" t="s">
        <v>761</v>
      </c>
      <c r="G717" s="354">
        <v>792659.1</v>
      </c>
      <c r="H717" s="210">
        <v>42583</v>
      </c>
      <c r="I717" s="619">
        <v>42559</v>
      </c>
      <c r="J717" s="163">
        <v>741522.62000000011</v>
      </c>
      <c r="K717" s="163">
        <v>741522.62000000011</v>
      </c>
      <c r="L717" s="210"/>
      <c r="M717" s="163"/>
      <c r="N717" s="213">
        <v>1</v>
      </c>
      <c r="O717" s="301"/>
      <c r="P717" s="176"/>
      <c r="Q717" s="497"/>
      <c r="R717" s="496"/>
      <c r="T717" s="19"/>
    </row>
    <row r="718" spans="1:22" s="75" customFormat="1" ht="33" outlineLevel="1" x14ac:dyDescent="0.25">
      <c r="A718" s="1028"/>
      <c r="B718" s="1026"/>
      <c r="C718" s="253" t="s">
        <v>1076</v>
      </c>
      <c r="D718" s="163">
        <v>47949.95</v>
      </c>
      <c r="E718" s="273" t="s">
        <v>1077</v>
      </c>
      <c r="F718" s="253" t="s">
        <v>1078</v>
      </c>
      <c r="G718" s="163">
        <v>47949.95</v>
      </c>
      <c r="H718" s="210"/>
      <c r="I718" s="621">
        <v>42604</v>
      </c>
      <c r="J718" s="163">
        <v>47949.95</v>
      </c>
      <c r="K718" s="163">
        <v>47949.95</v>
      </c>
      <c r="L718" s="210"/>
      <c r="M718" s="163"/>
      <c r="N718" s="213"/>
      <c r="O718" s="531"/>
      <c r="P718" s="457"/>
      <c r="Q718" s="622"/>
      <c r="R718" s="626"/>
      <c r="S718" s="67"/>
      <c r="T718" s="68"/>
      <c r="U718" s="67"/>
      <c r="V718" s="67"/>
    </row>
    <row r="719" spans="1:22" ht="49.5" outlineLevel="1" x14ac:dyDescent="0.25">
      <c r="A719" s="1028"/>
      <c r="B719" s="1026"/>
      <c r="C719" s="294" t="s">
        <v>37</v>
      </c>
      <c r="D719" s="180">
        <f>82413.31*1.18</f>
        <v>97247.705799999996</v>
      </c>
      <c r="E719" s="181" t="s">
        <v>559</v>
      </c>
      <c r="F719" s="181" t="s">
        <v>535</v>
      </c>
      <c r="G719" s="182">
        <f>82413.31*1.18</f>
        <v>97247.705799999996</v>
      </c>
      <c r="H719" s="183">
        <v>42458</v>
      </c>
      <c r="I719" s="183">
        <v>42408</v>
      </c>
      <c r="J719" s="184">
        <v>97247.7</v>
      </c>
      <c r="K719" s="184">
        <v>97247.7</v>
      </c>
      <c r="L719" s="183"/>
      <c r="M719" s="184">
        <f>J719-D719</f>
        <v>-5.7999999989988282E-3</v>
      </c>
      <c r="N719" s="202"/>
      <c r="O719" s="283" t="s">
        <v>707</v>
      </c>
      <c r="P719" s="176"/>
      <c r="Q719" s="177"/>
      <c r="R719" s="132"/>
    </row>
    <row r="720" spans="1:22" ht="17.25" outlineLevel="1" thickBot="1" x14ac:dyDescent="0.3">
      <c r="A720" s="1006" t="s">
        <v>628</v>
      </c>
      <c r="B720" s="1007"/>
      <c r="C720" s="364"/>
      <c r="D720" s="365">
        <f>SUM(D712:D719)</f>
        <v>9152551.775799999</v>
      </c>
      <c r="E720" s="239"/>
      <c r="F720" s="239"/>
      <c r="G720" s="366">
        <f>SUM(G712:G719)</f>
        <v>9701052.9649192784</v>
      </c>
      <c r="H720" s="239"/>
      <c r="I720" s="494"/>
      <c r="J720" s="365">
        <f>SUM(J712:J719)</f>
        <v>8708174.7299999967</v>
      </c>
      <c r="K720" s="365">
        <f>SUM(K712:K719)</f>
        <v>8708174.7299999967</v>
      </c>
      <c r="L720" s="367"/>
      <c r="M720" s="365"/>
      <c r="N720" s="368">
        <f>AVERAGE(N712:N719)</f>
        <v>1</v>
      </c>
      <c r="O720" s="369"/>
      <c r="P720" s="195"/>
      <c r="Q720" s="627"/>
      <c r="R720" s="496"/>
    </row>
    <row r="721" spans="1:22" s="5" customFormat="1" ht="33" x14ac:dyDescent="0.25">
      <c r="A721" s="1027">
        <v>3</v>
      </c>
      <c r="B721" s="1025" t="s">
        <v>182</v>
      </c>
      <c r="C721" s="197" t="s">
        <v>38</v>
      </c>
      <c r="D721" s="162">
        <v>616477.67000000004</v>
      </c>
      <c r="E721" s="197" t="s">
        <v>590</v>
      </c>
      <c r="F721" s="197" t="s">
        <v>589</v>
      </c>
      <c r="G721" s="353">
        <v>665199.33335375832</v>
      </c>
      <c r="H721" s="161">
        <v>42551</v>
      </c>
      <c r="I721" s="161">
        <v>42537</v>
      </c>
      <c r="J721" s="162">
        <v>616477.66999999993</v>
      </c>
      <c r="K721" s="162">
        <v>616477.66999999993</v>
      </c>
      <c r="L721" s="161">
        <v>42695</v>
      </c>
      <c r="M721" s="162"/>
      <c r="N721" s="200">
        <v>1</v>
      </c>
      <c r="O721" s="370"/>
      <c r="P721" s="245"/>
      <c r="Q721" s="201" t="s">
        <v>1116</v>
      </c>
      <c r="R721" s="496"/>
      <c r="S721" s="19"/>
      <c r="T721" s="18"/>
      <c r="U721" s="19"/>
      <c r="V721" s="19"/>
    </row>
    <row r="722" spans="1:22" ht="33" outlineLevel="1" x14ac:dyDescent="0.25">
      <c r="A722" s="1028"/>
      <c r="B722" s="1026"/>
      <c r="C722" s="253" t="s">
        <v>34</v>
      </c>
      <c r="D722" s="163">
        <v>3446226.95</v>
      </c>
      <c r="E722" s="253" t="s">
        <v>657</v>
      </c>
      <c r="F722" s="253" t="s">
        <v>591</v>
      </c>
      <c r="G722" s="354">
        <v>3582136.62</v>
      </c>
      <c r="H722" s="210">
        <v>42612</v>
      </c>
      <c r="I722" s="210">
        <v>42592</v>
      </c>
      <c r="J722" s="163">
        <v>3446226.95</v>
      </c>
      <c r="K722" s="163">
        <v>3446226.95</v>
      </c>
      <c r="L722" s="210"/>
      <c r="M722" s="163"/>
      <c r="N722" s="207">
        <v>1</v>
      </c>
      <c r="O722" s="398"/>
      <c r="P722" s="176"/>
      <c r="Q722" s="201" t="s">
        <v>1116</v>
      </c>
      <c r="R722" s="496"/>
    </row>
    <row r="723" spans="1:22" ht="33" outlineLevel="1" x14ac:dyDescent="0.25">
      <c r="A723" s="1028"/>
      <c r="B723" s="1026"/>
      <c r="C723" s="253" t="s">
        <v>35</v>
      </c>
      <c r="D723" s="163">
        <v>449789.04</v>
      </c>
      <c r="E723" s="253" t="s">
        <v>657</v>
      </c>
      <c r="F723" s="253" t="s">
        <v>591</v>
      </c>
      <c r="G723" s="354">
        <v>520881.5</v>
      </c>
      <c r="H723" s="210">
        <v>42475</v>
      </c>
      <c r="I723" s="210">
        <v>42454</v>
      </c>
      <c r="J723" s="163">
        <v>449789.04</v>
      </c>
      <c r="K723" s="163">
        <v>449789.04</v>
      </c>
      <c r="L723" s="210"/>
      <c r="M723" s="163">
        <f>J723-D723</f>
        <v>0</v>
      </c>
      <c r="N723" s="213">
        <v>1</v>
      </c>
      <c r="O723" s="531"/>
      <c r="P723" s="176"/>
      <c r="Q723" s="177"/>
      <c r="R723" s="496"/>
    </row>
    <row r="724" spans="1:22" ht="30.75" customHeight="1" outlineLevel="1" x14ac:dyDescent="0.25">
      <c r="A724" s="1028"/>
      <c r="B724" s="1026"/>
      <c r="C724" s="253" t="s">
        <v>36</v>
      </c>
      <c r="D724" s="163">
        <v>331779.96999999997</v>
      </c>
      <c r="E724" s="253" t="s">
        <v>657</v>
      </c>
      <c r="F724" s="253" t="s">
        <v>591</v>
      </c>
      <c r="G724" s="354">
        <v>376554.52</v>
      </c>
      <c r="H724" s="210">
        <v>42475</v>
      </c>
      <c r="I724" s="210">
        <v>42454</v>
      </c>
      <c r="J724" s="163">
        <v>331779.96999999997</v>
      </c>
      <c r="K724" s="163">
        <v>331779.96999999997</v>
      </c>
      <c r="L724" s="210"/>
      <c r="M724" s="163">
        <f>J724-D724</f>
        <v>0</v>
      </c>
      <c r="N724" s="213">
        <v>1</v>
      </c>
      <c r="O724" s="531"/>
      <c r="P724" s="176"/>
      <c r="Q724" s="177"/>
      <c r="R724" s="496"/>
      <c r="T724" s="19"/>
    </row>
    <row r="725" spans="1:22" ht="33" outlineLevel="1" x14ac:dyDescent="0.25">
      <c r="A725" s="1028"/>
      <c r="B725" s="1026"/>
      <c r="C725" s="253" t="s">
        <v>515</v>
      </c>
      <c r="D725" s="163">
        <v>732023.62</v>
      </c>
      <c r="E725" s="273" t="s">
        <v>760</v>
      </c>
      <c r="F725" s="253" t="s">
        <v>761</v>
      </c>
      <c r="G725" s="354">
        <v>792659.1</v>
      </c>
      <c r="H725" s="210">
        <v>42583</v>
      </c>
      <c r="I725" s="619">
        <v>42559</v>
      </c>
      <c r="J725" s="163">
        <v>732023.62000000011</v>
      </c>
      <c r="K725" s="163">
        <v>732023.62000000011</v>
      </c>
      <c r="L725" s="210"/>
      <c r="M725" s="163"/>
      <c r="N725" s="213">
        <v>1</v>
      </c>
      <c r="O725" s="301"/>
      <c r="P725" s="176"/>
      <c r="Q725" s="497"/>
      <c r="R725" s="496"/>
    </row>
    <row r="726" spans="1:22" s="75" customFormat="1" ht="33" outlineLevel="1" x14ac:dyDescent="0.25">
      <c r="A726" s="1028"/>
      <c r="B726" s="1026"/>
      <c r="C726" s="253" t="s">
        <v>1076</v>
      </c>
      <c r="D726" s="163">
        <v>48571.34</v>
      </c>
      <c r="E726" s="273" t="s">
        <v>1077</v>
      </c>
      <c r="F726" s="253" t="s">
        <v>1078</v>
      </c>
      <c r="G726" s="163">
        <v>48571.34</v>
      </c>
      <c r="H726" s="210"/>
      <c r="I726" s="621">
        <v>42604</v>
      </c>
      <c r="J726" s="163">
        <v>48571.34</v>
      </c>
      <c r="K726" s="163">
        <v>48571.34</v>
      </c>
      <c r="L726" s="210"/>
      <c r="M726" s="163"/>
      <c r="N726" s="213"/>
      <c r="O726" s="531"/>
      <c r="P726" s="457"/>
      <c r="Q726" s="622"/>
      <c r="R726" s="626"/>
      <c r="S726" s="67"/>
      <c r="T726" s="67"/>
      <c r="U726" s="67"/>
      <c r="V726" s="67"/>
    </row>
    <row r="727" spans="1:22" ht="49.5" outlineLevel="1" x14ac:dyDescent="0.25">
      <c r="A727" s="1028"/>
      <c r="B727" s="1026"/>
      <c r="C727" s="294" t="s">
        <v>37</v>
      </c>
      <c r="D727" s="180">
        <f>83737.52*1.18</f>
        <v>98810.2736</v>
      </c>
      <c r="E727" s="181" t="s">
        <v>559</v>
      </c>
      <c r="F727" s="181" t="s">
        <v>535</v>
      </c>
      <c r="G727" s="182">
        <f>83737.52*1.18</f>
        <v>98810.2736</v>
      </c>
      <c r="H727" s="183">
        <v>42458</v>
      </c>
      <c r="I727" s="183">
        <v>42408</v>
      </c>
      <c r="J727" s="184">
        <v>98810.27</v>
      </c>
      <c r="K727" s="184">
        <v>98810.27</v>
      </c>
      <c r="L727" s="183"/>
      <c r="M727" s="184">
        <f>J727-D727</f>
        <v>-3.599999996367842E-3</v>
      </c>
      <c r="N727" s="202"/>
      <c r="O727" s="283" t="s">
        <v>707</v>
      </c>
      <c r="P727" s="176"/>
      <c r="Q727" s="177"/>
      <c r="R727" s="132"/>
    </row>
    <row r="728" spans="1:22" ht="17.25" outlineLevel="1" thickBot="1" x14ac:dyDescent="0.3">
      <c r="A728" s="1010" t="s">
        <v>628</v>
      </c>
      <c r="B728" s="1011"/>
      <c r="C728" s="377"/>
      <c r="D728" s="378">
        <f>SUM(D721:D727)</f>
        <v>5723678.8635999998</v>
      </c>
      <c r="E728" s="215"/>
      <c r="F728" s="215"/>
      <c r="G728" s="379">
        <f>SUM(G721:G727)</f>
        <v>6084812.6869537579</v>
      </c>
      <c r="H728" s="215"/>
      <c r="I728" s="525"/>
      <c r="J728" s="378">
        <f>SUM(J721:J727)</f>
        <v>5723678.8599999994</v>
      </c>
      <c r="K728" s="378">
        <f>SUM(K721:K727)</f>
        <v>5723678.8599999994</v>
      </c>
      <c r="L728" s="380"/>
      <c r="M728" s="378"/>
      <c r="N728" s="395">
        <f>AVERAGE(N721:N727)</f>
        <v>1</v>
      </c>
      <c r="O728" s="381"/>
      <c r="P728" s="176"/>
      <c r="Q728" s="497"/>
      <c r="R728" s="620"/>
      <c r="S728" s="19"/>
      <c r="T728" s="19"/>
    </row>
    <row r="729" spans="1:22" s="5" customFormat="1" ht="39" customHeight="1" x14ac:dyDescent="0.25">
      <c r="A729" s="396">
        <v>4</v>
      </c>
      <c r="B729" s="397" t="s">
        <v>183</v>
      </c>
      <c r="C729" s="197" t="s">
        <v>500</v>
      </c>
      <c r="D729" s="162">
        <v>3643326.32</v>
      </c>
      <c r="E729" s="197" t="s">
        <v>660</v>
      </c>
      <c r="F729" s="197" t="s">
        <v>593</v>
      </c>
      <c r="G729" s="353">
        <v>3645333.88</v>
      </c>
      <c r="H729" s="161">
        <v>42459</v>
      </c>
      <c r="I729" s="161">
        <v>42459</v>
      </c>
      <c r="J729" s="162">
        <v>3643326.32</v>
      </c>
      <c r="K729" s="162">
        <v>3643326.32</v>
      </c>
      <c r="L729" s="161"/>
      <c r="M729" s="162">
        <f>J729-D729</f>
        <v>0</v>
      </c>
      <c r="N729" s="200">
        <v>1</v>
      </c>
      <c r="O729" s="382"/>
      <c r="P729" s="176"/>
      <c r="Q729" s="497"/>
      <c r="R729" s="496"/>
      <c r="S729" s="18"/>
      <c r="T729" s="18"/>
      <c r="U729" s="19"/>
      <c r="V729" s="19"/>
    </row>
    <row r="730" spans="1:22" ht="17.25" outlineLevel="1" thickBot="1" x14ac:dyDescent="0.3">
      <c r="A730" s="1006" t="s">
        <v>628</v>
      </c>
      <c r="B730" s="1007"/>
      <c r="C730" s="364"/>
      <c r="D730" s="365">
        <f>SUM(D729:D729)</f>
        <v>3643326.32</v>
      </c>
      <c r="E730" s="239"/>
      <c r="F730" s="239"/>
      <c r="G730" s="366">
        <f>SUM(G729:G729)</f>
        <v>3645333.88</v>
      </c>
      <c r="H730" s="239"/>
      <c r="I730" s="321"/>
      <c r="J730" s="365">
        <f>SUM(J729:J729)</f>
        <v>3643326.32</v>
      </c>
      <c r="K730" s="365">
        <f>SUM(K729:K729)</f>
        <v>3643326.32</v>
      </c>
      <c r="L730" s="367"/>
      <c r="M730" s="365"/>
      <c r="N730" s="368">
        <f>AVERAGE(N729)</f>
        <v>1</v>
      </c>
      <c r="O730" s="369"/>
      <c r="P730" s="176"/>
      <c r="Q730" s="497"/>
      <c r="R730" s="496"/>
    </row>
    <row r="731" spans="1:22" s="5" customFormat="1" ht="39.75" customHeight="1" x14ac:dyDescent="0.25">
      <c r="A731" s="396">
        <v>5</v>
      </c>
      <c r="B731" s="397" t="s">
        <v>184</v>
      </c>
      <c r="C731" s="197" t="s">
        <v>500</v>
      </c>
      <c r="D731" s="162">
        <v>4292975.6399999997</v>
      </c>
      <c r="E731" s="197" t="s">
        <v>660</v>
      </c>
      <c r="F731" s="197" t="s">
        <v>593</v>
      </c>
      <c r="G731" s="353">
        <v>4331739.9000000004</v>
      </c>
      <c r="H731" s="161">
        <v>42459</v>
      </c>
      <c r="I731" s="210">
        <v>42459</v>
      </c>
      <c r="J731" s="275">
        <v>4292975.6399999997</v>
      </c>
      <c r="K731" s="162">
        <v>4292975.6399999997</v>
      </c>
      <c r="L731" s="161"/>
      <c r="M731" s="163">
        <f>J731-D731</f>
        <v>0</v>
      </c>
      <c r="N731" s="200">
        <v>1</v>
      </c>
      <c r="O731" s="382"/>
      <c r="P731" s="176"/>
      <c r="Q731" s="497"/>
      <c r="R731" s="620"/>
      <c r="S731" s="19"/>
      <c r="T731" s="19"/>
      <c r="U731" s="19"/>
      <c r="V731" s="19"/>
    </row>
    <row r="732" spans="1:22" ht="17.25" outlineLevel="1" thickBot="1" x14ac:dyDescent="0.3">
      <c r="A732" s="1006" t="s">
        <v>628</v>
      </c>
      <c r="B732" s="1007"/>
      <c r="C732" s="364"/>
      <c r="D732" s="365">
        <f>SUM(D731:D731)</f>
        <v>4292975.6399999997</v>
      </c>
      <c r="E732" s="239"/>
      <c r="F732" s="239"/>
      <c r="G732" s="366">
        <f>SUM(G731:G731)</f>
        <v>4331739.9000000004</v>
      </c>
      <c r="H732" s="239"/>
      <c r="I732" s="321"/>
      <c r="J732" s="365">
        <f>SUM(J731:J731)</f>
        <v>4292975.6399999997</v>
      </c>
      <c r="K732" s="365">
        <f>SUM(K731:K731)</f>
        <v>4292975.6399999997</v>
      </c>
      <c r="L732" s="367"/>
      <c r="M732" s="365"/>
      <c r="N732" s="368">
        <f>AVERAGE(N731)</f>
        <v>1</v>
      </c>
      <c r="O732" s="369"/>
      <c r="P732" s="176"/>
      <c r="Q732" s="497"/>
      <c r="R732" s="496"/>
    </row>
    <row r="733" spans="1:22" s="69" customFormat="1" ht="33" x14ac:dyDescent="0.25">
      <c r="A733" s="1027">
        <v>6</v>
      </c>
      <c r="B733" s="1025" t="s">
        <v>210</v>
      </c>
      <c r="C733" s="197" t="s">
        <v>500</v>
      </c>
      <c r="D733" s="162">
        <v>3900901.82</v>
      </c>
      <c r="E733" s="197" t="s">
        <v>1158</v>
      </c>
      <c r="F733" s="197" t="s">
        <v>768</v>
      </c>
      <c r="G733" s="353">
        <v>3881397.31</v>
      </c>
      <c r="H733" s="161">
        <v>42722</v>
      </c>
      <c r="I733" s="161">
        <v>42720</v>
      </c>
      <c r="J733" s="162">
        <v>3648919.9</v>
      </c>
      <c r="K733" s="162">
        <v>3648919.9</v>
      </c>
      <c r="L733" s="198"/>
      <c r="M733" s="199"/>
      <c r="N733" s="200">
        <v>0.1</v>
      </c>
      <c r="O733" s="382"/>
      <c r="P733" s="457"/>
      <c r="Q733" s="622"/>
      <c r="R733" s="623"/>
      <c r="S733" s="68"/>
      <c r="T733" s="68"/>
      <c r="U733" s="68"/>
      <c r="V733" s="68"/>
    </row>
    <row r="734" spans="1:22" ht="49.5" outlineLevel="1" x14ac:dyDescent="0.25">
      <c r="A734" s="1028"/>
      <c r="B734" s="1026"/>
      <c r="C734" s="356" t="s">
        <v>37</v>
      </c>
      <c r="D734" s="357">
        <v>55328.52</v>
      </c>
      <c r="E734" s="358" t="s">
        <v>559</v>
      </c>
      <c r="F734" s="358" t="s">
        <v>535</v>
      </c>
      <c r="G734" s="359">
        <f>46888.58*1.18</f>
        <v>55328.524400000002</v>
      </c>
      <c r="H734" s="360">
        <v>42458</v>
      </c>
      <c r="I734" s="360">
        <v>42496</v>
      </c>
      <c r="J734" s="361">
        <v>55328.52</v>
      </c>
      <c r="K734" s="361">
        <v>55328.52</v>
      </c>
      <c r="L734" s="360"/>
      <c r="M734" s="361"/>
      <c r="N734" s="362"/>
      <c r="O734" s="466" t="s">
        <v>715</v>
      </c>
      <c r="P734" s="176"/>
      <c r="Q734" s="497"/>
      <c r="R734" s="496"/>
    </row>
    <row r="735" spans="1:22" ht="17.25" outlineLevel="1" thickBot="1" x14ac:dyDescent="0.3">
      <c r="A735" s="1006" t="s">
        <v>628</v>
      </c>
      <c r="B735" s="1007"/>
      <c r="C735" s="364"/>
      <c r="D735" s="365">
        <f>SUM(D733:D734)</f>
        <v>3956230.34</v>
      </c>
      <c r="E735" s="239"/>
      <c r="F735" s="239"/>
      <c r="G735" s="366">
        <f>SUM(G733:G734)</f>
        <v>3936725.8344000001</v>
      </c>
      <c r="H735" s="239"/>
      <c r="I735" s="321"/>
      <c r="J735" s="365">
        <f t="shared" ref="J735" si="65">SUM(J733:J734)</f>
        <v>3704248.42</v>
      </c>
      <c r="K735" s="365">
        <f>SUM(K733:K734)</f>
        <v>3704248.42</v>
      </c>
      <c r="L735" s="367"/>
      <c r="M735" s="365"/>
      <c r="N735" s="368">
        <f>AVERAGE(N733:N734)</f>
        <v>0.1</v>
      </c>
      <c r="O735" s="369"/>
      <c r="P735" s="176"/>
      <c r="Q735" s="497"/>
      <c r="R735" s="496"/>
    </row>
    <row r="736" spans="1:22" s="5" customFormat="1" ht="33" x14ac:dyDescent="0.25">
      <c r="A736" s="1027">
        <v>7</v>
      </c>
      <c r="B736" s="1025" t="s">
        <v>185</v>
      </c>
      <c r="C736" s="197" t="s">
        <v>38</v>
      </c>
      <c r="D736" s="162">
        <v>570703.94999999995</v>
      </c>
      <c r="E736" s="197" t="s">
        <v>590</v>
      </c>
      <c r="F736" s="197" t="s">
        <v>589</v>
      </c>
      <c r="G736" s="353">
        <v>665199.33335375832</v>
      </c>
      <c r="H736" s="161">
        <v>42551</v>
      </c>
      <c r="I736" s="161">
        <v>42467</v>
      </c>
      <c r="J736" s="162">
        <v>564532.66</v>
      </c>
      <c r="K736" s="162">
        <v>564532.66</v>
      </c>
      <c r="L736" s="161"/>
      <c r="M736" s="163">
        <f>J736-D736</f>
        <v>-6171.2899999999208</v>
      </c>
      <c r="N736" s="200">
        <v>1</v>
      </c>
      <c r="O736" s="382"/>
      <c r="P736" s="176"/>
      <c r="Q736" s="177"/>
      <c r="R736" s="496"/>
      <c r="S736" s="19"/>
      <c r="T736" s="18"/>
      <c r="U736" s="19"/>
      <c r="V736" s="19"/>
    </row>
    <row r="737" spans="1:22" ht="33" outlineLevel="1" x14ac:dyDescent="0.25">
      <c r="A737" s="1028"/>
      <c r="B737" s="1026"/>
      <c r="C737" s="253" t="s">
        <v>34</v>
      </c>
      <c r="D737" s="163">
        <v>3528054.88</v>
      </c>
      <c r="E737" s="253" t="s">
        <v>657</v>
      </c>
      <c r="F737" s="253" t="s">
        <v>591</v>
      </c>
      <c r="G737" s="354">
        <v>3603133.54</v>
      </c>
      <c r="H737" s="210">
        <v>42612</v>
      </c>
      <c r="I737" s="210">
        <v>42592</v>
      </c>
      <c r="J737" s="163">
        <v>3528054.88</v>
      </c>
      <c r="K737" s="163">
        <v>3528054.88</v>
      </c>
      <c r="L737" s="210"/>
      <c r="M737" s="163"/>
      <c r="N737" s="213">
        <v>1</v>
      </c>
      <c r="O737" s="301"/>
      <c r="P737" s="176"/>
      <c r="Q737" s="201" t="s">
        <v>1116</v>
      </c>
      <c r="R737" s="496"/>
      <c r="T737" s="19"/>
    </row>
    <row r="738" spans="1:22" ht="33" outlineLevel="1" x14ac:dyDescent="0.25">
      <c r="A738" s="1028"/>
      <c r="B738" s="1026"/>
      <c r="C738" s="253" t="s">
        <v>35</v>
      </c>
      <c r="D738" s="163">
        <v>449789.04</v>
      </c>
      <c r="E738" s="253" t="s">
        <v>657</v>
      </c>
      <c r="F738" s="253" t="s">
        <v>591</v>
      </c>
      <c r="G738" s="354">
        <v>520881.5</v>
      </c>
      <c r="H738" s="210">
        <v>42475</v>
      </c>
      <c r="I738" s="210">
        <v>42454</v>
      </c>
      <c r="J738" s="163">
        <v>449789.04</v>
      </c>
      <c r="K738" s="163">
        <v>449789.04</v>
      </c>
      <c r="L738" s="210"/>
      <c r="M738" s="163">
        <f>J738-D738</f>
        <v>0</v>
      </c>
      <c r="N738" s="213">
        <v>1</v>
      </c>
      <c r="O738" s="531"/>
      <c r="P738" s="176"/>
      <c r="Q738" s="177"/>
      <c r="R738" s="496"/>
    </row>
    <row r="739" spans="1:22" ht="26.25" customHeight="1" outlineLevel="1" x14ac:dyDescent="0.25">
      <c r="A739" s="1028"/>
      <c r="B739" s="1026"/>
      <c r="C739" s="253" t="s">
        <v>36</v>
      </c>
      <c r="D739" s="163">
        <v>331779.96999999997</v>
      </c>
      <c r="E739" s="478" t="s">
        <v>657</v>
      </c>
      <c r="F739" s="253" t="s">
        <v>591</v>
      </c>
      <c r="G739" s="354">
        <v>376554.52</v>
      </c>
      <c r="H739" s="210">
        <v>42475</v>
      </c>
      <c r="I739" s="210">
        <v>42454</v>
      </c>
      <c r="J739" s="163">
        <v>331779.96999999997</v>
      </c>
      <c r="K739" s="163">
        <v>331779.96999999997</v>
      </c>
      <c r="L739" s="210"/>
      <c r="M739" s="163">
        <f>J739-D739</f>
        <v>0</v>
      </c>
      <c r="N739" s="213">
        <v>1</v>
      </c>
      <c r="O739" s="531"/>
      <c r="P739" s="176"/>
      <c r="Q739" s="177"/>
      <c r="R739" s="496"/>
    </row>
    <row r="740" spans="1:22" ht="33" outlineLevel="1" x14ac:dyDescent="0.25">
      <c r="A740" s="1028"/>
      <c r="B740" s="1026"/>
      <c r="C740" s="253" t="s">
        <v>515</v>
      </c>
      <c r="D740" s="163">
        <v>753425.28</v>
      </c>
      <c r="E740" s="253" t="s">
        <v>760</v>
      </c>
      <c r="F740" s="253" t="s">
        <v>761</v>
      </c>
      <c r="G740" s="354">
        <v>784095.84</v>
      </c>
      <c r="H740" s="210">
        <v>42583</v>
      </c>
      <c r="I740" s="619">
        <v>42578</v>
      </c>
      <c r="J740" s="163">
        <v>753425.28</v>
      </c>
      <c r="K740" s="163">
        <v>753425.28</v>
      </c>
      <c r="L740" s="210"/>
      <c r="M740" s="163"/>
      <c r="N740" s="213">
        <v>1</v>
      </c>
      <c r="O740" s="301"/>
      <c r="P740" s="176"/>
      <c r="Q740" s="497"/>
      <c r="R740" s="496"/>
      <c r="T740" s="19"/>
    </row>
    <row r="741" spans="1:22" s="75" customFormat="1" ht="33" outlineLevel="1" x14ac:dyDescent="0.25">
      <c r="A741" s="1028"/>
      <c r="B741" s="1026"/>
      <c r="C741" s="253" t="s">
        <v>1076</v>
      </c>
      <c r="D741" s="163">
        <v>48856.05</v>
      </c>
      <c r="E741" s="273" t="s">
        <v>1077</v>
      </c>
      <c r="F741" s="253" t="s">
        <v>1078</v>
      </c>
      <c r="G741" s="163">
        <v>48856.05</v>
      </c>
      <c r="H741" s="210"/>
      <c r="I741" s="621">
        <v>42604</v>
      </c>
      <c r="J741" s="163">
        <v>48856.05</v>
      </c>
      <c r="K741" s="163">
        <v>48856.05</v>
      </c>
      <c r="L741" s="210"/>
      <c r="M741" s="163"/>
      <c r="N741" s="213"/>
      <c r="O741" s="531"/>
      <c r="P741" s="457"/>
      <c r="Q741" s="622"/>
      <c r="R741" s="626"/>
      <c r="S741" s="67"/>
      <c r="T741" s="68"/>
      <c r="U741" s="67"/>
      <c r="V741" s="67"/>
    </row>
    <row r="742" spans="1:22" ht="49.5" outlineLevel="1" x14ac:dyDescent="0.25">
      <c r="A742" s="1028"/>
      <c r="B742" s="1026"/>
      <c r="C742" s="294" t="s">
        <v>37</v>
      </c>
      <c r="D742" s="180">
        <v>98228.84</v>
      </c>
      <c r="E742" s="181" t="s">
        <v>559</v>
      </c>
      <c r="F742" s="181" t="s">
        <v>535</v>
      </c>
      <c r="G742" s="182">
        <f>83858.97*1.18</f>
        <v>98953.584600000002</v>
      </c>
      <c r="H742" s="183">
        <v>42458</v>
      </c>
      <c r="I742" s="183">
        <v>42408</v>
      </c>
      <c r="J742" s="184">
        <v>98228.84</v>
      </c>
      <c r="K742" s="184">
        <v>98228.84</v>
      </c>
      <c r="L742" s="183"/>
      <c r="M742" s="184">
        <f>J742-D742</f>
        <v>0</v>
      </c>
      <c r="N742" s="202"/>
      <c r="O742" s="283" t="s">
        <v>856</v>
      </c>
      <c r="P742" s="176"/>
      <c r="Q742" s="177"/>
      <c r="R742" s="132"/>
    </row>
    <row r="743" spans="1:22" ht="17.25" outlineLevel="1" thickBot="1" x14ac:dyDescent="0.3">
      <c r="A743" s="1006" t="s">
        <v>628</v>
      </c>
      <c r="B743" s="1007"/>
      <c r="C743" s="364"/>
      <c r="D743" s="365">
        <f>SUM(D736:D742)</f>
        <v>5780838.0099999998</v>
      </c>
      <c r="E743" s="239"/>
      <c r="F743" s="239"/>
      <c r="G743" s="366">
        <f>SUM(G736:G742)</f>
        <v>6097674.3679537578</v>
      </c>
      <c r="H743" s="239"/>
      <c r="I743" s="494"/>
      <c r="J743" s="365">
        <f>SUM(J736:J742)</f>
        <v>5774666.7199999997</v>
      </c>
      <c r="K743" s="365">
        <f>SUM(K736:K742)</f>
        <v>5774666.7199999997</v>
      </c>
      <c r="L743" s="367"/>
      <c r="M743" s="365"/>
      <c r="N743" s="368">
        <f>AVERAGE(N736:N742)</f>
        <v>1</v>
      </c>
      <c r="O743" s="369"/>
      <c r="P743" s="176"/>
      <c r="Q743" s="497"/>
      <c r="R743" s="496"/>
    </row>
    <row r="744" spans="1:22" s="5" customFormat="1" ht="33" x14ac:dyDescent="0.25">
      <c r="A744" s="1027">
        <v>8</v>
      </c>
      <c r="B744" s="1025" t="s">
        <v>186</v>
      </c>
      <c r="C744" s="197" t="s">
        <v>38</v>
      </c>
      <c r="D744" s="162">
        <v>570703.94999999995</v>
      </c>
      <c r="E744" s="197" t="s">
        <v>590</v>
      </c>
      <c r="F744" s="197" t="s">
        <v>589</v>
      </c>
      <c r="G744" s="353">
        <v>665199.33335375832</v>
      </c>
      <c r="H744" s="161">
        <v>42551</v>
      </c>
      <c r="I744" s="161">
        <v>42467</v>
      </c>
      <c r="J744" s="162">
        <v>564532.66</v>
      </c>
      <c r="K744" s="162">
        <v>564532.66</v>
      </c>
      <c r="L744" s="161"/>
      <c r="M744" s="163">
        <f>J744-D744</f>
        <v>-6171.2899999999208</v>
      </c>
      <c r="N744" s="200">
        <v>1</v>
      </c>
      <c r="O744" s="382"/>
      <c r="P744" s="176"/>
      <c r="Q744" s="177"/>
      <c r="R744" s="496"/>
      <c r="S744" s="19"/>
      <c r="T744" s="19"/>
      <c r="U744" s="19"/>
      <c r="V744" s="19"/>
    </row>
    <row r="745" spans="1:22" ht="33" outlineLevel="1" x14ac:dyDescent="0.25">
      <c r="A745" s="1028"/>
      <c r="B745" s="1026"/>
      <c r="C745" s="253" t="s">
        <v>34</v>
      </c>
      <c r="D745" s="163">
        <v>3455714.84</v>
      </c>
      <c r="E745" s="253" t="s">
        <v>657</v>
      </c>
      <c r="F745" s="253" t="s">
        <v>591</v>
      </c>
      <c r="G745" s="354">
        <v>3582989.76</v>
      </c>
      <c r="H745" s="210">
        <v>42612</v>
      </c>
      <c r="I745" s="210">
        <v>42592</v>
      </c>
      <c r="J745" s="163">
        <v>3455714.84</v>
      </c>
      <c r="K745" s="163">
        <v>3455714.84</v>
      </c>
      <c r="L745" s="626"/>
      <c r="M745" s="628"/>
      <c r="N745" s="213">
        <v>1</v>
      </c>
      <c r="O745" s="398"/>
      <c r="P745" s="176"/>
      <c r="Q745" s="201" t="s">
        <v>1116</v>
      </c>
      <c r="R745" s="496"/>
    </row>
    <row r="746" spans="1:22" ht="33" outlineLevel="1" x14ac:dyDescent="0.25">
      <c r="A746" s="1028"/>
      <c r="B746" s="1026"/>
      <c r="C746" s="253" t="s">
        <v>35</v>
      </c>
      <c r="D746" s="163">
        <v>441237.53</v>
      </c>
      <c r="E746" s="253" t="s">
        <v>657</v>
      </c>
      <c r="F746" s="253" t="s">
        <v>591</v>
      </c>
      <c r="G746" s="354">
        <v>520881.5</v>
      </c>
      <c r="H746" s="210">
        <v>42475</v>
      </c>
      <c r="I746" s="210">
        <v>42457</v>
      </c>
      <c r="J746" s="163">
        <v>441237.52999999997</v>
      </c>
      <c r="K746" s="163">
        <v>441237.52999999997</v>
      </c>
      <c r="L746" s="210"/>
      <c r="M746" s="163">
        <f>J746-D746</f>
        <v>0</v>
      </c>
      <c r="N746" s="213">
        <v>1</v>
      </c>
      <c r="O746" s="531"/>
      <c r="P746" s="176"/>
      <c r="Q746" s="177"/>
      <c r="R746" s="496"/>
    </row>
    <row r="747" spans="1:22" ht="33" outlineLevel="1" x14ac:dyDescent="0.25">
      <c r="A747" s="1028"/>
      <c r="B747" s="1026"/>
      <c r="C747" s="253" t="s">
        <v>36</v>
      </c>
      <c r="D747" s="163">
        <v>318184.64</v>
      </c>
      <c r="E747" s="253" t="s">
        <v>657</v>
      </c>
      <c r="F747" s="253" t="s">
        <v>591</v>
      </c>
      <c r="G747" s="354">
        <v>376554.52</v>
      </c>
      <c r="H747" s="210">
        <v>42475</v>
      </c>
      <c r="I747" s="210">
        <v>42457</v>
      </c>
      <c r="J747" s="163">
        <v>318184.63999999996</v>
      </c>
      <c r="K747" s="163">
        <v>318184.63999999996</v>
      </c>
      <c r="L747" s="210"/>
      <c r="M747" s="163">
        <f>J747-D747</f>
        <v>0</v>
      </c>
      <c r="N747" s="213">
        <v>1</v>
      </c>
      <c r="O747" s="531"/>
      <c r="P747" s="176"/>
      <c r="Q747" s="177"/>
      <c r="R747" s="496"/>
    </row>
    <row r="748" spans="1:22" ht="33" outlineLevel="1" x14ac:dyDescent="0.25">
      <c r="A748" s="1028"/>
      <c r="B748" s="1026"/>
      <c r="C748" s="253" t="s">
        <v>515</v>
      </c>
      <c r="D748" s="163">
        <v>758679.82</v>
      </c>
      <c r="E748" s="273" t="s">
        <v>760</v>
      </c>
      <c r="F748" s="253" t="s">
        <v>761</v>
      </c>
      <c r="G748" s="354">
        <v>792659.1</v>
      </c>
      <c r="H748" s="210">
        <v>42583</v>
      </c>
      <c r="I748" s="619">
        <v>42559</v>
      </c>
      <c r="J748" s="163">
        <v>758679.82</v>
      </c>
      <c r="K748" s="163">
        <v>758679.82</v>
      </c>
      <c r="L748" s="210"/>
      <c r="M748" s="163"/>
      <c r="N748" s="213">
        <v>1</v>
      </c>
      <c r="O748" s="301"/>
      <c r="P748" s="176"/>
      <c r="Q748" s="497"/>
      <c r="R748" s="496"/>
      <c r="T748" s="19"/>
    </row>
    <row r="749" spans="1:22" s="75" customFormat="1" ht="33" outlineLevel="1" x14ac:dyDescent="0.25">
      <c r="A749" s="1028"/>
      <c r="B749" s="1026"/>
      <c r="C749" s="253" t="s">
        <v>1076</v>
      </c>
      <c r="D749" s="163">
        <v>48582.91</v>
      </c>
      <c r="E749" s="273" t="s">
        <v>1077</v>
      </c>
      <c r="F749" s="253" t="s">
        <v>1078</v>
      </c>
      <c r="G749" s="163">
        <v>48582.91</v>
      </c>
      <c r="H749" s="210"/>
      <c r="I749" s="621">
        <v>42604</v>
      </c>
      <c r="J749" s="163">
        <v>48582.91</v>
      </c>
      <c r="K749" s="163">
        <v>48582.91</v>
      </c>
      <c r="L749" s="210"/>
      <c r="M749" s="163"/>
      <c r="N749" s="213"/>
      <c r="O749" s="531"/>
      <c r="P749" s="457"/>
      <c r="Q749" s="622"/>
      <c r="R749" s="626"/>
      <c r="S749" s="67"/>
      <c r="T749" s="68"/>
      <c r="U749" s="67"/>
      <c r="V749" s="67"/>
    </row>
    <row r="750" spans="1:22" ht="49.5" outlineLevel="1" x14ac:dyDescent="0.25">
      <c r="A750" s="1028"/>
      <c r="B750" s="1026"/>
      <c r="C750" s="294" t="s">
        <v>37</v>
      </c>
      <c r="D750" s="180">
        <v>96593.58</v>
      </c>
      <c r="E750" s="181" t="s">
        <v>559</v>
      </c>
      <c r="F750" s="181" t="s">
        <v>535</v>
      </c>
      <c r="G750" s="182">
        <f>81858.97*1.18</f>
        <v>96593.584600000002</v>
      </c>
      <c r="H750" s="183">
        <v>42458</v>
      </c>
      <c r="I750" s="183">
        <v>42408</v>
      </c>
      <c r="J750" s="184">
        <v>96593.58</v>
      </c>
      <c r="K750" s="184">
        <v>96593.58</v>
      </c>
      <c r="L750" s="183"/>
      <c r="M750" s="184">
        <f>J750-D750</f>
        <v>0</v>
      </c>
      <c r="N750" s="202"/>
      <c r="O750" s="283" t="s">
        <v>707</v>
      </c>
      <c r="P750" s="176"/>
      <c r="Q750" s="177"/>
      <c r="R750" s="132"/>
    </row>
    <row r="751" spans="1:22" ht="17.25" outlineLevel="1" thickBot="1" x14ac:dyDescent="0.3">
      <c r="A751" s="1006" t="s">
        <v>628</v>
      </c>
      <c r="B751" s="1007"/>
      <c r="C751" s="364"/>
      <c r="D751" s="365">
        <f>SUM(D744:D750)</f>
        <v>5689697.2700000005</v>
      </c>
      <c r="E751" s="239"/>
      <c r="F751" s="239"/>
      <c r="G751" s="366">
        <f>SUM(G744:G750)</f>
        <v>6083460.7079537567</v>
      </c>
      <c r="H751" s="239"/>
      <c r="I751" s="494"/>
      <c r="J751" s="365">
        <f>SUM(J744:J750)</f>
        <v>5683525.9800000004</v>
      </c>
      <c r="K751" s="365">
        <f>SUM(K744:K750)</f>
        <v>5683525.9800000004</v>
      </c>
      <c r="L751" s="367"/>
      <c r="M751" s="365"/>
      <c r="N751" s="368">
        <f>AVERAGE(N744:N750)</f>
        <v>1</v>
      </c>
      <c r="O751" s="369"/>
      <c r="P751" s="176"/>
      <c r="Q751" s="497"/>
      <c r="R751" s="496"/>
    </row>
    <row r="752" spans="1:22" s="5" customFormat="1" ht="33" x14ac:dyDescent="0.25">
      <c r="A752" s="1027">
        <v>9</v>
      </c>
      <c r="B752" s="1025" t="s">
        <v>187</v>
      </c>
      <c r="C752" s="197" t="s">
        <v>38</v>
      </c>
      <c r="D752" s="162">
        <v>616960.93000000005</v>
      </c>
      <c r="E752" s="197" t="s">
        <v>590</v>
      </c>
      <c r="F752" s="197" t="s">
        <v>589</v>
      </c>
      <c r="G752" s="353">
        <v>665199.33335375832</v>
      </c>
      <c r="H752" s="161">
        <v>42551</v>
      </c>
      <c r="I752" s="161">
        <v>42537</v>
      </c>
      <c r="J752" s="162">
        <v>616960.92999999993</v>
      </c>
      <c r="K752" s="162">
        <v>616960.92999999993</v>
      </c>
      <c r="L752" s="161">
        <v>42695</v>
      </c>
      <c r="M752" s="162"/>
      <c r="N752" s="200">
        <v>1</v>
      </c>
      <c r="O752" s="370"/>
      <c r="P752" s="176"/>
      <c r="Q752" s="201" t="s">
        <v>1116</v>
      </c>
      <c r="R752" s="496"/>
      <c r="S752" s="19"/>
      <c r="T752" s="18"/>
      <c r="U752" s="19"/>
      <c r="V752" s="19"/>
    </row>
    <row r="753" spans="1:22" ht="33" outlineLevel="1" x14ac:dyDescent="0.25">
      <c r="A753" s="1028"/>
      <c r="B753" s="1026"/>
      <c r="C753" s="253" t="s">
        <v>34</v>
      </c>
      <c r="D753" s="163">
        <v>3495112.47</v>
      </c>
      <c r="E753" s="253" t="s">
        <v>657</v>
      </c>
      <c r="F753" s="253" t="s">
        <v>591</v>
      </c>
      <c r="G753" s="354">
        <v>3552551.66</v>
      </c>
      <c r="H753" s="210">
        <v>42612</v>
      </c>
      <c r="I753" s="210">
        <v>42592</v>
      </c>
      <c r="J753" s="163">
        <v>3495112.47</v>
      </c>
      <c r="K753" s="163">
        <v>3495112.47</v>
      </c>
      <c r="L753" s="210"/>
      <c r="M753" s="163"/>
      <c r="N753" s="213">
        <v>1</v>
      </c>
      <c r="O753" s="301"/>
      <c r="P753" s="176"/>
      <c r="Q753" s="201" t="s">
        <v>1116</v>
      </c>
      <c r="R753" s="496"/>
    </row>
    <row r="754" spans="1:22" ht="33" outlineLevel="1" x14ac:dyDescent="0.25">
      <c r="A754" s="1028"/>
      <c r="B754" s="1026"/>
      <c r="C754" s="253" t="s">
        <v>35</v>
      </c>
      <c r="D754" s="163">
        <v>465728.51</v>
      </c>
      <c r="E754" s="253" t="s">
        <v>657</v>
      </c>
      <c r="F754" s="253" t="s">
        <v>591</v>
      </c>
      <c r="G754" s="354">
        <v>540319.64</v>
      </c>
      <c r="H754" s="210">
        <v>42475</v>
      </c>
      <c r="I754" s="210">
        <v>42454</v>
      </c>
      <c r="J754" s="163">
        <v>465728.51</v>
      </c>
      <c r="K754" s="163">
        <v>465728.51</v>
      </c>
      <c r="L754" s="210"/>
      <c r="M754" s="163">
        <f>J754-D754</f>
        <v>0</v>
      </c>
      <c r="N754" s="213">
        <v>1</v>
      </c>
      <c r="O754" s="531"/>
      <c r="P754" s="176"/>
      <c r="Q754" s="177"/>
      <c r="R754" s="496"/>
    </row>
    <row r="755" spans="1:22" ht="33" outlineLevel="1" x14ac:dyDescent="0.25">
      <c r="A755" s="1028"/>
      <c r="B755" s="1026"/>
      <c r="C755" s="253" t="s">
        <v>36</v>
      </c>
      <c r="D755" s="163">
        <v>331779.96999999997</v>
      </c>
      <c r="E755" s="253" t="s">
        <v>657</v>
      </c>
      <c r="F755" s="253" t="s">
        <v>591</v>
      </c>
      <c r="G755" s="354">
        <v>376554.52</v>
      </c>
      <c r="H755" s="210">
        <v>42475</v>
      </c>
      <c r="I755" s="210">
        <v>42454</v>
      </c>
      <c r="J755" s="163">
        <v>331779.96999999997</v>
      </c>
      <c r="K755" s="163">
        <v>331779.96999999997</v>
      </c>
      <c r="L755" s="210"/>
      <c r="M755" s="163">
        <f>J755-D755</f>
        <v>0</v>
      </c>
      <c r="N755" s="213">
        <v>1</v>
      </c>
      <c r="O755" s="531"/>
      <c r="P755" s="176"/>
      <c r="Q755" s="177"/>
      <c r="R755" s="496"/>
    </row>
    <row r="756" spans="1:22" ht="33" outlineLevel="1" x14ac:dyDescent="0.25">
      <c r="A756" s="1028"/>
      <c r="B756" s="1026"/>
      <c r="C756" s="253" t="s">
        <v>515</v>
      </c>
      <c r="D756" s="163">
        <v>766788.78</v>
      </c>
      <c r="E756" s="273" t="s">
        <v>760</v>
      </c>
      <c r="F756" s="253" t="s">
        <v>761</v>
      </c>
      <c r="G756" s="354">
        <v>792659.1</v>
      </c>
      <c r="H756" s="210">
        <v>42583</v>
      </c>
      <c r="I756" s="619">
        <v>42578</v>
      </c>
      <c r="J756" s="163">
        <v>766788.78000000014</v>
      </c>
      <c r="K756" s="163">
        <v>766788.78000000014</v>
      </c>
      <c r="L756" s="210"/>
      <c r="M756" s="163"/>
      <c r="N756" s="213">
        <v>1</v>
      </c>
      <c r="O756" s="301"/>
      <c r="P756" s="176"/>
      <c r="Q756" s="497"/>
      <c r="R756" s="496"/>
      <c r="T756" s="19"/>
    </row>
    <row r="757" spans="1:22" s="75" customFormat="1" ht="33" outlineLevel="1" x14ac:dyDescent="0.25">
      <c r="A757" s="1028"/>
      <c r="B757" s="1026"/>
      <c r="C757" s="253" t="s">
        <v>1076</v>
      </c>
      <c r="D757" s="163">
        <v>48170.19</v>
      </c>
      <c r="E757" s="273" t="s">
        <v>1077</v>
      </c>
      <c r="F757" s="253" t="s">
        <v>1078</v>
      </c>
      <c r="G757" s="163">
        <v>48170.19</v>
      </c>
      <c r="H757" s="210"/>
      <c r="I757" s="621">
        <v>42604</v>
      </c>
      <c r="J757" s="163">
        <v>48170.19</v>
      </c>
      <c r="K757" s="163">
        <v>48170.19</v>
      </c>
      <c r="L757" s="210"/>
      <c r="M757" s="163"/>
      <c r="N757" s="213"/>
      <c r="O757" s="531"/>
      <c r="P757" s="457"/>
      <c r="Q757" s="622"/>
      <c r="R757" s="626"/>
      <c r="S757" s="67"/>
      <c r="T757" s="68"/>
      <c r="U757" s="67"/>
      <c r="V757" s="67"/>
    </row>
    <row r="758" spans="1:22" ht="49.5" outlineLevel="1" x14ac:dyDescent="0.25">
      <c r="A758" s="1028"/>
      <c r="B758" s="1026"/>
      <c r="C758" s="294" t="s">
        <v>37</v>
      </c>
      <c r="D758" s="180">
        <f>82413.31*1.18</f>
        <v>97247.705799999996</v>
      </c>
      <c r="E758" s="181" t="s">
        <v>559</v>
      </c>
      <c r="F758" s="181" t="s">
        <v>535</v>
      </c>
      <c r="G758" s="182">
        <f>82413.31*1.18</f>
        <v>97247.705799999996</v>
      </c>
      <c r="H758" s="183">
        <v>42458</v>
      </c>
      <c r="I758" s="183">
        <v>42408</v>
      </c>
      <c r="J758" s="184">
        <v>97247.71</v>
      </c>
      <c r="K758" s="184">
        <v>97247.71</v>
      </c>
      <c r="L758" s="183"/>
      <c r="M758" s="184">
        <f>J758-D758</f>
        <v>4.2000000103143975E-3</v>
      </c>
      <c r="N758" s="202"/>
      <c r="O758" s="283" t="s">
        <v>707</v>
      </c>
      <c r="P758" s="176"/>
      <c r="Q758" s="177"/>
      <c r="R758" s="132"/>
    </row>
    <row r="759" spans="1:22" ht="17.25" outlineLevel="1" thickBot="1" x14ac:dyDescent="0.3">
      <c r="A759" s="1006" t="s">
        <v>628</v>
      </c>
      <c r="B759" s="1007"/>
      <c r="C759" s="364"/>
      <c r="D759" s="365">
        <f>SUM(D752:D758)</f>
        <v>5821788.5558000002</v>
      </c>
      <c r="E759" s="239"/>
      <c r="F759" s="239"/>
      <c r="G759" s="366">
        <f>SUM(G752:G758)</f>
        <v>6072702.1491537578</v>
      </c>
      <c r="H759" s="239"/>
      <c r="I759" s="494"/>
      <c r="J759" s="365">
        <f>SUM(J752:J758)</f>
        <v>5821788.5600000005</v>
      </c>
      <c r="K759" s="365">
        <f>SUM(K752:K758)</f>
        <v>5821788.5600000005</v>
      </c>
      <c r="L759" s="367"/>
      <c r="M759" s="365"/>
      <c r="N759" s="368">
        <f>AVERAGE(N752:N758)</f>
        <v>1</v>
      </c>
      <c r="O759" s="369"/>
      <c r="P759" s="176"/>
      <c r="Q759" s="497"/>
      <c r="R759" s="496"/>
    </row>
    <row r="760" spans="1:22" s="5" customFormat="1" ht="33" x14ac:dyDescent="0.25">
      <c r="A760" s="1136">
        <v>10</v>
      </c>
      <c r="B760" s="1137" t="s">
        <v>188</v>
      </c>
      <c r="C760" s="197" t="s">
        <v>500</v>
      </c>
      <c r="D760" s="162">
        <v>9226670.2300000004</v>
      </c>
      <c r="E760" s="273" t="s">
        <v>864</v>
      </c>
      <c r="F760" s="197" t="s">
        <v>768</v>
      </c>
      <c r="G760" s="353">
        <v>12110980.560000001</v>
      </c>
      <c r="H760" s="161">
        <v>42561</v>
      </c>
      <c r="I760" s="161">
        <v>42561</v>
      </c>
      <c r="J760" s="162">
        <v>9226670.2300000004</v>
      </c>
      <c r="K760" s="162">
        <v>9226670.2300000004</v>
      </c>
      <c r="L760" s="161"/>
      <c r="M760" s="162"/>
      <c r="N760" s="200">
        <v>1</v>
      </c>
      <c r="O760" s="370"/>
      <c r="P760" s="176"/>
      <c r="Q760" s="497"/>
      <c r="R760" s="496"/>
      <c r="S760" s="18"/>
      <c r="T760" s="18"/>
      <c r="U760" s="19"/>
      <c r="V760" s="19"/>
    </row>
    <row r="761" spans="1:22" s="69" customFormat="1" ht="33" x14ac:dyDescent="0.25">
      <c r="A761" s="1062"/>
      <c r="B761" s="1061"/>
      <c r="C761" s="253" t="s">
        <v>1076</v>
      </c>
      <c r="D761" s="163">
        <v>165875.45000000001</v>
      </c>
      <c r="E761" s="273" t="s">
        <v>1077</v>
      </c>
      <c r="F761" s="253" t="s">
        <v>1078</v>
      </c>
      <c r="G761" s="163">
        <v>165875.45000000001</v>
      </c>
      <c r="H761" s="210"/>
      <c r="I761" s="621">
        <v>42604</v>
      </c>
      <c r="J761" s="163">
        <v>165875.45000000001</v>
      </c>
      <c r="K761" s="163">
        <v>165875.45000000001</v>
      </c>
      <c r="L761" s="257"/>
      <c r="M761" s="498"/>
      <c r="N761" s="629"/>
      <c r="O761" s="630"/>
      <c r="P761" s="457"/>
      <c r="Q761" s="622"/>
      <c r="R761" s="626"/>
      <c r="S761" s="67"/>
      <c r="T761" s="67"/>
      <c r="U761" s="68"/>
      <c r="V761" s="68"/>
    </row>
    <row r="762" spans="1:22" ht="17.25" outlineLevel="1" thickBot="1" x14ac:dyDescent="0.3">
      <c r="A762" s="1010" t="s">
        <v>628</v>
      </c>
      <c r="B762" s="1011"/>
      <c r="C762" s="377"/>
      <c r="D762" s="365">
        <f>SUM(D760:D761)</f>
        <v>9392545.6799999997</v>
      </c>
      <c r="E762" s="247"/>
      <c r="F762" s="247"/>
      <c r="G762" s="366">
        <f>SUM(G760:G761)</f>
        <v>12276856.01</v>
      </c>
      <c r="H762" s="247"/>
      <c r="I762" s="277"/>
      <c r="J762" s="365">
        <f>SUM(J760:J761)</f>
        <v>9392545.6799999997</v>
      </c>
      <c r="K762" s="365">
        <f>SUM(K760:K761)</f>
        <v>9392545.6799999997</v>
      </c>
      <c r="L762" s="380"/>
      <c r="M762" s="378"/>
      <c r="N762" s="395">
        <f>AVERAGE(N760)</f>
        <v>1</v>
      </c>
      <c r="O762" s="381"/>
      <c r="P762" s="176"/>
      <c r="Q762" s="497"/>
      <c r="R762" s="496"/>
    </row>
    <row r="763" spans="1:22" s="5" customFormat="1" ht="33" x14ac:dyDescent="0.25">
      <c r="A763" s="1027">
        <v>11</v>
      </c>
      <c r="B763" s="1025" t="s">
        <v>513</v>
      </c>
      <c r="C763" s="197" t="s">
        <v>500</v>
      </c>
      <c r="D763" s="162">
        <v>6982379.6500000004</v>
      </c>
      <c r="E763" s="197" t="s">
        <v>1064</v>
      </c>
      <c r="F763" s="197" t="s">
        <v>768</v>
      </c>
      <c r="G763" s="353">
        <v>9393107.8399999999</v>
      </c>
      <c r="H763" s="161">
        <v>42662</v>
      </c>
      <c r="I763" s="161">
        <v>42656</v>
      </c>
      <c r="J763" s="162">
        <v>6982379.6500000004</v>
      </c>
      <c r="K763" s="162">
        <v>6982379.6500000004</v>
      </c>
      <c r="L763" s="161">
        <v>42695</v>
      </c>
      <c r="M763" s="162">
        <v>6982379.6500000004</v>
      </c>
      <c r="N763" s="376">
        <v>1</v>
      </c>
      <c r="O763" s="221">
        <v>6982379.6500000004</v>
      </c>
      <c r="P763" s="221">
        <v>6982379.6500000004</v>
      </c>
      <c r="Q763" s="221">
        <v>6982379.6500000004</v>
      </c>
      <c r="R763" s="221">
        <v>6982379.6500000004</v>
      </c>
      <c r="S763" s="18"/>
      <c r="T763" s="18"/>
      <c r="U763" s="19"/>
      <c r="V763" s="19"/>
    </row>
    <row r="764" spans="1:22" ht="49.5" outlineLevel="1" x14ac:dyDescent="0.25">
      <c r="A764" s="1028"/>
      <c r="B764" s="1026"/>
      <c r="C764" s="356" t="s">
        <v>37</v>
      </c>
      <c r="D764" s="357">
        <f>88052.26*1.18</f>
        <v>103901.66679999999</v>
      </c>
      <c r="E764" s="358" t="s">
        <v>559</v>
      </c>
      <c r="F764" s="358" t="s">
        <v>535</v>
      </c>
      <c r="G764" s="359">
        <f>88052.26*1.18</f>
        <v>103901.66679999999</v>
      </c>
      <c r="H764" s="360">
        <v>42458</v>
      </c>
      <c r="I764" s="360">
        <v>42496</v>
      </c>
      <c r="J764" s="361">
        <v>103901.67000000001</v>
      </c>
      <c r="K764" s="361">
        <v>103901.67000000001</v>
      </c>
      <c r="L764" s="360"/>
      <c r="M764" s="361">
        <f>J764-D764</f>
        <v>3.2000000210246071E-3</v>
      </c>
      <c r="N764" s="362"/>
      <c r="O764" s="466" t="s">
        <v>856</v>
      </c>
      <c r="P764" s="176"/>
      <c r="Q764" s="497"/>
      <c r="R764" s="620"/>
      <c r="S764" s="19"/>
      <c r="T764" s="19"/>
    </row>
    <row r="765" spans="1:22" ht="17.25" outlineLevel="1" thickBot="1" x14ac:dyDescent="0.3">
      <c r="A765" s="1006" t="s">
        <v>628</v>
      </c>
      <c r="B765" s="1007"/>
      <c r="C765" s="364"/>
      <c r="D765" s="365">
        <f>SUM(D763:D764)</f>
        <v>7086281.3168000001</v>
      </c>
      <c r="E765" s="239"/>
      <c r="F765" s="239"/>
      <c r="G765" s="366">
        <f>SUM(G763:G764)</f>
        <v>9497009.5067999996</v>
      </c>
      <c r="H765" s="239"/>
      <c r="I765" s="321"/>
      <c r="J765" s="365">
        <f t="shared" ref="J765" si="66">SUM(J763:J764)</f>
        <v>7086281.3200000003</v>
      </c>
      <c r="K765" s="365">
        <f>SUM(K763:K764)</f>
        <v>7086281.3200000003</v>
      </c>
      <c r="L765" s="367"/>
      <c r="M765" s="365"/>
      <c r="N765" s="368">
        <f>AVERAGE(N763:N764)</f>
        <v>1</v>
      </c>
      <c r="O765" s="369"/>
      <c r="P765" s="176"/>
      <c r="Q765" s="497"/>
      <c r="R765" s="496"/>
    </row>
    <row r="766" spans="1:22" s="5" customFormat="1" ht="33" x14ac:dyDescent="0.25">
      <c r="A766" s="1136">
        <v>12</v>
      </c>
      <c r="B766" s="1137" t="s">
        <v>189</v>
      </c>
      <c r="C766" s="197" t="s">
        <v>500</v>
      </c>
      <c r="D766" s="162">
        <v>10636888.560000001</v>
      </c>
      <c r="E766" s="273" t="s">
        <v>863</v>
      </c>
      <c r="F766" s="197" t="s">
        <v>768</v>
      </c>
      <c r="G766" s="353">
        <v>14744658.26</v>
      </c>
      <c r="H766" s="161">
        <v>42561</v>
      </c>
      <c r="I766" s="161">
        <v>42561</v>
      </c>
      <c r="J766" s="162">
        <v>10636888.560000001</v>
      </c>
      <c r="K766" s="162">
        <v>10636888.560000001</v>
      </c>
      <c r="L766" s="198"/>
      <c r="M766" s="199"/>
      <c r="N766" s="200">
        <v>1</v>
      </c>
      <c r="O766" s="370"/>
      <c r="P766" s="176"/>
      <c r="Q766" s="497"/>
      <c r="R766" s="620"/>
      <c r="S766" s="19"/>
      <c r="T766" s="19"/>
      <c r="U766" s="19"/>
      <c r="V766" s="19"/>
    </row>
    <row r="767" spans="1:22" s="69" customFormat="1" ht="33" x14ac:dyDescent="0.25">
      <c r="A767" s="1062"/>
      <c r="B767" s="1061"/>
      <c r="C767" s="253" t="s">
        <v>1076</v>
      </c>
      <c r="D767" s="163">
        <v>201947.04</v>
      </c>
      <c r="E767" s="273" t="s">
        <v>1077</v>
      </c>
      <c r="F767" s="253" t="s">
        <v>1078</v>
      </c>
      <c r="G767" s="163">
        <v>201947.04</v>
      </c>
      <c r="H767" s="210"/>
      <c r="I767" s="621">
        <v>42604</v>
      </c>
      <c r="J767" s="163">
        <v>201947.04</v>
      </c>
      <c r="K767" s="163">
        <v>201947.04</v>
      </c>
      <c r="L767" s="631"/>
      <c r="M767" s="563"/>
      <c r="N767" s="629"/>
      <c r="O767" s="630"/>
      <c r="P767" s="457"/>
      <c r="Q767" s="622"/>
      <c r="R767" s="623"/>
      <c r="S767" s="68"/>
      <c r="T767" s="68"/>
      <c r="U767" s="68"/>
      <c r="V767" s="68"/>
    </row>
    <row r="768" spans="1:22" ht="17.25" outlineLevel="1" thickBot="1" x14ac:dyDescent="0.3">
      <c r="A768" s="1006" t="s">
        <v>628</v>
      </c>
      <c r="B768" s="1007"/>
      <c r="C768" s="364"/>
      <c r="D768" s="365">
        <f>SUM(D766:D767)</f>
        <v>10838835.6</v>
      </c>
      <c r="E768" s="239"/>
      <c r="F768" s="239"/>
      <c r="G768" s="366">
        <f>SUM(G766:G767)</f>
        <v>14946605.299999999</v>
      </c>
      <c r="H768" s="239"/>
      <c r="I768" s="321"/>
      <c r="J768" s="365">
        <f>SUM(J766:J767)</f>
        <v>10838835.6</v>
      </c>
      <c r="K768" s="365">
        <f>SUM(K766:K767)</f>
        <v>10838835.6</v>
      </c>
      <c r="L768" s="367"/>
      <c r="M768" s="365"/>
      <c r="N768" s="395">
        <f>AVERAGE(N766)</f>
        <v>1</v>
      </c>
      <c r="O768" s="369"/>
      <c r="P768" s="176"/>
      <c r="Q768" s="497"/>
      <c r="R768" s="496"/>
    </row>
    <row r="769" spans="1:22" s="5" customFormat="1" ht="33" x14ac:dyDescent="0.25">
      <c r="A769" s="1027">
        <v>13</v>
      </c>
      <c r="B769" s="1025" t="s">
        <v>205</v>
      </c>
      <c r="C769" s="197" t="s">
        <v>500</v>
      </c>
      <c r="D769" s="162">
        <v>4799775.29</v>
      </c>
      <c r="E769" s="197" t="s">
        <v>1064</v>
      </c>
      <c r="F769" s="197" t="s">
        <v>768</v>
      </c>
      <c r="G769" s="353">
        <v>6097391.6600000001</v>
      </c>
      <c r="H769" s="161">
        <v>42662</v>
      </c>
      <c r="I769" s="161">
        <v>42656</v>
      </c>
      <c r="J769" s="162">
        <v>4799775.29</v>
      </c>
      <c r="K769" s="162">
        <v>4799775.29</v>
      </c>
      <c r="L769" s="161">
        <v>42695</v>
      </c>
      <c r="M769" s="199"/>
      <c r="N769" s="200">
        <v>1</v>
      </c>
      <c r="O769" s="370"/>
      <c r="P769" s="176"/>
      <c r="Q769" s="201" t="s">
        <v>1116</v>
      </c>
      <c r="R769" s="620"/>
      <c r="S769" s="19"/>
      <c r="T769" s="19"/>
      <c r="U769" s="19"/>
      <c r="V769" s="19"/>
    </row>
    <row r="770" spans="1:22" ht="49.5" outlineLevel="1" x14ac:dyDescent="0.25">
      <c r="A770" s="1028"/>
      <c r="B770" s="1026"/>
      <c r="C770" s="356" t="s">
        <v>37</v>
      </c>
      <c r="D770" s="357">
        <f>86727.74*1.18</f>
        <v>102338.7332</v>
      </c>
      <c r="E770" s="358" t="s">
        <v>559</v>
      </c>
      <c r="F770" s="358" t="s">
        <v>535</v>
      </c>
      <c r="G770" s="359">
        <f>86727.74*1.18</f>
        <v>102338.7332</v>
      </c>
      <c r="H770" s="360">
        <v>42458</v>
      </c>
      <c r="I770" s="360">
        <v>42496</v>
      </c>
      <c r="J770" s="361">
        <v>102338.73</v>
      </c>
      <c r="K770" s="361">
        <v>102338.73</v>
      </c>
      <c r="L770" s="360"/>
      <c r="M770" s="361">
        <f>J770-D770</f>
        <v>-3.2000000064726919E-3</v>
      </c>
      <c r="N770" s="362"/>
      <c r="O770" s="466" t="s">
        <v>708</v>
      </c>
      <c r="P770" s="176"/>
      <c r="Q770" s="497"/>
      <c r="R770" s="496"/>
    </row>
    <row r="771" spans="1:22" ht="17.25" outlineLevel="1" thickBot="1" x14ac:dyDescent="0.3">
      <c r="A771" s="1006" t="s">
        <v>628</v>
      </c>
      <c r="B771" s="1007"/>
      <c r="C771" s="364"/>
      <c r="D771" s="365">
        <f>SUM(D769:D770)</f>
        <v>4902114.0231999997</v>
      </c>
      <c r="E771" s="239"/>
      <c r="F771" s="239"/>
      <c r="G771" s="366">
        <f>SUM(G769:G770)</f>
        <v>6199730.3931999998</v>
      </c>
      <c r="H771" s="239"/>
      <c r="I771" s="321"/>
      <c r="J771" s="365">
        <f t="shared" ref="J771" si="67">SUM(J769:J770)</f>
        <v>4902114.0200000005</v>
      </c>
      <c r="K771" s="365">
        <f>SUM(K769:K770)</f>
        <v>4902114.0200000005</v>
      </c>
      <c r="L771" s="367"/>
      <c r="M771" s="365"/>
      <c r="N771" s="368">
        <f>AVERAGE(N769:N770)</f>
        <v>1</v>
      </c>
      <c r="O771" s="369"/>
      <c r="P771" s="176"/>
      <c r="Q771" s="497"/>
      <c r="R771" s="496"/>
    </row>
    <row r="772" spans="1:22" s="5" customFormat="1" ht="33" x14ac:dyDescent="0.25">
      <c r="A772" s="1027">
        <v>14</v>
      </c>
      <c r="B772" s="1025" t="s">
        <v>207</v>
      </c>
      <c r="C772" s="197" t="s">
        <v>500</v>
      </c>
      <c r="D772" s="162">
        <v>9416605.3200000003</v>
      </c>
      <c r="E772" s="197" t="s">
        <v>1051</v>
      </c>
      <c r="F772" s="197" t="s">
        <v>592</v>
      </c>
      <c r="G772" s="353">
        <v>9416605.3200000003</v>
      </c>
      <c r="H772" s="161">
        <v>42660</v>
      </c>
      <c r="I772" s="161">
        <v>42676</v>
      </c>
      <c r="J772" s="162">
        <v>5906673.29</v>
      </c>
      <c r="K772" s="162">
        <v>5906673.29</v>
      </c>
      <c r="L772" s="161">
        <v>42720</v>
      </c>
      <c r="M772" s="199"/>
      <c r="N772" s="200">
        <v>1</v>
      </c>
      <c r="O772" s="370"/>
      <c r="P772" s="176"/>
      <c r="Q772" s="201" t="s">
        <v>1114</v>
      </c>
      <c r="R772" s="620"/>
      <c r="S772" s="19"/>
      <c r="T772" s="19"/>
      <c r="U772" s="19"/>
      <c r="V772" s="19"/>
    </row>
    <row r="773" spans="1:22" ht="49.5" outlineLevel="1" x14ac:dyDescent="0.25">
      <c r="A773" s="1028"/>
      <c r="B773" s="1026"/>
      <c r="C773" s="356" t="s">
        <v>37</v>
      </c>
      <c r="D773" s="357">
        <f>93075.82*1.18</f>
        <v>109829.4676</v>
      </c>
      <c r="E773" s="358" t="s">
        <v>559</v>
      </c>
      <c r="F773" s="358" t="s">
        <v>535</v>
      </c>
      <c r="G773" s="359">
        <f>93075.82*1.18</f>
        <v>109829.4676</v>
      </c>
      <c r="H773" s="360">
        <v>42458</v>
      </c>
      <c r="I773" s="360">
        <v>42496</v>
      </c>
      <c r="J773" s="361">
        <v>109829.47</v>
      </c>
      <c r="K773" s="361">
        <v>109829.47</v>
      </c>
      <c r="L773" s="360"/>
      <c r="M773" s="361">
        <f>J773-D773</f>
        <v>2.3999999975785613E-3</v>
      </c>
      <c r="N773" s="362"/>
      <c r="O773" s="466" t="s">
        <v>712</v>
      </c>
      <c r="P773" s="176"/>
      <c r="Q773" s="497"/>
      <c r="R773" s="496"/>
    </row>
    <row r="774" spans="1:22" ht="17.25" outlineLevel="1" thickBot="1" x14ac:dyDescent="0.3">
      <c r="A774" s="1010" t="s">
        <v>628</v>
      </c>
      <c r="B774" s="1011"/>
      <c r="C774" s="377"/>
      <c r="D774" s="378">
        <f>SUM(D772:D773)</f>
        <v>9526434.7875999995</v>
      </c>
      <c r="E774" s="247"/>
      <c r="F774" s="247"/>
      <c r="G774" s="379">
        <f>SUM(G772:G773)</f>
        <v>9526434.7875999995</v>
      </c>
      <c r="H774" s="247"/>
      <c r="I774" s="277"/>
      <c r="J774" s="378">
        <f t="shared" ref="J774" si="68">SUM(J772:J773)</f>
        <v>6016502.7599999998</v>
      </c>
      <c r="K774" s="378">
        <f>SUM(K772:K773)</f>
        <v>6016502.7599999998</v>
      </c>
      <c r="L774" s="380"/>
      <c r="M774" s="378"/>
      <c r="N774" s="395">
        <f>AVERAGE(N772:N773)</f>
        <v>1</v>
      </c>
      <c r="O774" s="381"/>
      <c r="P774" s="176"/>
      <c r="Q774" s="497"/>
      <c r="R774" s="496"/>
    </row>
    <row r="775" spans="1:22" ht="34.5" customHeight="1" outlineLevel="1" x14ac:dyDescent="0.25">
      <c r="A775" s="396">
        <v>15</v>
      </c>
      <c r="B775" s="397" t="s">
        <v>1094</v>
      </c>
      <c r="C775" s="197" t="s">
        <v>500</v>
      </c>
      <c r="D775" s="162">
        <v>3592855.74</v>
      </c>
      <c r="E775" s="197" t="s">
        <v>1282</v>
      </c>
      <c r="F775" s="197" t="s">
        <v>958</v>
      </c>
      <c r="G775" s="162">
        <v>3575000</v>
      </c>
      <c r="H775" s="161">
        <v>42731</v>
      </c>
      <c r="I775" s="161">
        <v>42692</v>
      </c>
      <c r="J775" s="162">
        <v>3113086.44</v>
      </c>
      <c r="K775" s="162">
        <v>3113086.44</v>
      </c>
      <c r="L775" s="161">
        <v>42716</v>
      </c>
      <c r="M775" s="199"/>
      <c r="N775" s="602">
        <v>0.9</v>
      </c>
      <c r="O775" s="398"/>
      <c r="P775" s="176"/>
      <c r="Q775" s="497"/>
      <c r="R775" s="496"/>
    </row>
    <row r="776" spans="1:22" ht="17.25" outlineLevel="1" thickBot="1" x14ac:dyDescent="0.3">
      <c r="A776" s="1006" t="s">
        <v>628</v>
      </c>
      <c r="B776" s="1007"/>
      <c r="C776" s="364"/>
      <c r="D776" s="365">
        <f>SUM(D775:D775)</f>
        <v>3592855.74</v>
      </c>
      <c r="E776" s="239"/>
      <c r="F776" s="239"/>
      <c r="G776" s="365">
        <f>G775</f>
        <v>3575000</v>
      </c>
      <c r="H776" s="239"/>
      <c r="I776" s="321"/>
      <c r="J776" s="365">
        <f>SUM(J775:J775)</f>
        <v>3113086.44</v>
      </c>
      <c r="K776" s="365">
        <f>SUM(K775:K775)</f>
        <v>3113086.44</v>
      </c>
      <c r="L776" s="367"/>
      <c r="M776" s="365"/>
      <c r="N776" s="399">
        <f>AVERAGE(N775)</f>
        <v>0.9</v>
      </c>
      <c r="O776" s="398"/>
      <c r="P776" s="176"/>
      <c r="Q776" s="497"/>
      <c r="R776" s="496"/>
    </row>
    <row r="777" spans="1:22" s="5" customFormat="1" ht="33" x14ac:dyDescent="0.25">
      <c r="A777" s="1062">
        <v>16</v>
      </c>
      <c r="B777" s="1061" t="s">
        <v>208</v>
      </c>
      <c r="C777" s="273" t="s">
        <v>500</v>
      </c>
      <c r="D777" s="275">
        <v>5835575.4699999997</v>
      </c>
      <c r="E777" s="273" t="s">
        <v>1052</v>
      </c>
      <c r="F777" s="273" t="s">
        <v>958</v>
      </c>
      <c r="G777" s="486">
        <v>9358620.2100000009</v>
      </c>
      <c r="H777" s="212">
        <v>42673</v>
      </c>
      <c r="I777" s="212">
        <v>42656</v>
      </c>
      <c r="J777" s="275">
        <v>5835575.4699999997</v>
      </c>
      <c r="K777" s="275">
        <v>5835575.4699999997</v>
      </c>
      <c r="L777" s="212">
        <v>42695</v>
      </c>
      <c r="M777" s="276"/>
      <c r="N777" s="488">
        <v>1</v>
      </c>
      <c r="O777" s="370"/>
      <c r="P777" s="176"/>
      <c r="Q777" s="201" t="s">
        <v>1116</v>
      </c>
      <c r="R777" s="620"/>
      <c r="S777" s="19"/>
      <c r="T777" s="19"/>
      <c r="U777" s="19"/>
      <c r="V777" s="19"/>
    </row>
    <row r="778" spans="1:22" ht="49.5" outlineLevel="1" x14ac:dyDescent="0.25">
      <c r="A778" s="1028"/>
      <c r="B778" s="1026"/>
      <c r="C778" s="356" t="s">
        <v>37</v>
      </c>
      <c r="D778" s="357">
        <f>96571.26*1.18</f>
        <v>113954.08679999999</v>
      </c>
      <c r="E778" s="358" t="s">
        <v>559</v>
      </c>
      <c r="F778" s="358" t="s">
        <v>535</v>
      </c>
      <c r="G778" s="359">
        <f>96571.26*1.18</f>
        <v>113954.08679999999</v>
      </c>
      <c r="H778" s="360">
        <v>42458</v>
      </c>
      <c r="I778" s="360">
        <v>42496</v>
      </c>
      <c r="J778" s="361">
        <v>113954.09</v>
      </c>
      <c r="K778" s="361">
        <v>113954.09</v>
      </c>
      <c r="L778" s="360"/>
      <c r="M778" s="361">
        <f>J778-D778</f>
        <v>3.2000000064726919E-3</v>
      </c>
      <c r="N778" s="362"/>
      <c r="O778" s="466" t="s">
        <v>713</v>
      </c>
      <c r="P778" s="176"/>
      <c r="Q778" s="497"/>
      <c r="R778" s="496"/>
    </row>
    <row r="779" spans="1:22" ht="17.25" outlineLevel="1" thickBot="1" x14ac:dyDescent="0.3">
      <c r="A779" s="1006" t="s">
        <v>628</v>
      </c>
      <c r="B779" s="1007"/>
      <c r="C779" s="364"/>
      <c r="D779" s="365">
        <f>SUM(D777:D778)</f>
        <v>5949529.5567999994</v>
      </c>
      <c r="E779" s="239"/>
      <c r="F779" s="239"/>
      <c r="G779" s="366">
        <f>SUM(G777:G778)</f>
        <v>9472574.2968000006</v>
      </c>
      <c r="H779" s="239"/>
      <c r="I779" s="321"/>
      <c r="J779" s="365">
        <f t="shared" ref="J779" si="69">SUM(J777:J778)</f>
        <v>5949529.5599999996</v>
      </c>
      <c r="K779" s="365">
        <f>SUM(K777:K778)</f>
        <v>5949529.5599999996</v>
      </c>
      <c r="L779" s="367"/>
      <c r="M779" s="365"/>
      <c r="N779" s="368">
        <f>AVERAGE(N777:N778)</f>
        <v>1</v>
      </c>
      <c r="O779" s="369"/>
      <c r="P779" s="176"/>
      <c r="Q779" s="497"/>
      <c r="R779" s="496"/>
    </row>
    <row r="780" spans="1:22" s="5" customFormat="1" ht="49.5" x14ac:dyDescent="0.25">
      <c r="A780" s="1027">
        <v>17</v>
      </c>
      <c r="B780" s="1025" t="s">
        <v>204</v>
      </c>
      <c r="C780" s="197" t="s">
        <v>500</v>
      </c>
      <c r="D780" s="162">
        <v>7935190.8399999999</v>
      </c>
      <c r="E780" s="197" t="s">
        <v>1051</v>
      </c>
      <c r="F780" s="197" t="s">
        <v>592</v>
      </c>
      <c r="G780" s="353">
        <v>7935190.8399999999</v>
      </c>
      <c r="H780" s="161">
        <v>42660</v>
      </c>
      <c r="I780" s="161">
        <v>42676</v>
      </c>
      <c r="J780" s="162">
        <v>4956019.72</v>
      </c>
      <c r="K780" s="162">
        <v>4956019.72</v>
      </c>
      <c r="L780" s="161">
        <v>42720</v>
      </c>
      <c r="M780" s="162"/>
      <c r="N780" s="200">
        <v>1</v>
      </c>
      <c r="O780" s="370"/>
      <c r="P780" s="176"/>
      <c r="Q780" s="280" t="s">
        <v>1118</v>
      </c>
      <c r="R780" s="496"/>
      <c r="S780" s="18"/>
      <c r="T780" s="18"/>
      <c r="U780" s="19"/>
      <c r="V780" s="19"/>
    </row>
    <row r="781" spans="1:22" ht="49.5" outlineLevel="1" x14ac:dyDescent="0.25">
      <c r="A781" s="1028"/>
      <c r="B781" s="1026"/>
      <c r="C781" s="356" t="s">
        <v>37</v>
      </c>
      <c r="D781" s="357">
        <f>95360.93*1.18</f>
        <v>112525.89739999999</v>
      </c>
      <c r="E781" s="358" t="s">
        <v>559</v>
      </c>
      <c r="F781" s="358" t="s">
        <v>535</v>
      </c>
      <c r="G781" s="359">
        <f>95360.93*1.18</f>
        <v>112525.89739999999</v>
      </c>
      <c r="H781" s="360">
        <v>42458</v>
      </c>
      <c r="I781" s="360">
        <v>42496</v>
      </c>
      <c r="J781" s="361">
        <v>112525.9</v>
      </c>
      <c r="K781" s="361">
        <v>112525.9</v>
      </c>
      <c r="L781" s="360"/>
      <c r="M781" s="361">
        <f>J781-D781</f>
        <v>2.6000000070780516E-3</v>
      </c>
      <c r="N781" s="362"/>
      <c r="O781" s="466" t="s">
        <v>710</v>
      </c>
      <c r="P781" s="176"/>
      <c r="Q781" s="497"/>
      <c r="R781" s="496"/>
    </row>
    <row r="782" spans="1:22" ht="17.25" outlineLevel="1" thickBot="1" x14ac:dyDescent="0.3">
      <c r="A782" s="1006" t="s">
        <v>628</v>
      </c>
      <c r="B782" s="1007"/>
      <c r="C782" s="364"/>
      <c r="D782" s="365">
        <f>SUM(D780:D781)</f>
        <v>8047716.7374</v>
      </c>
      <c r="E782" s="239"/>
      <c r="F782" s="239"/>
      <c r="G782" s="366">
        <f>SUM(G780:G781)</f>
        <v>8047716.7374</v>
      </c>
      <c r="H782" s="239"/>
      <c r="I782" s="321"/>
      <c r="J782" s="365">
        <f t="shared" ref="J782" si="70">SUM(J780:J781)</f>
        <v>5068545.62</v>
      </c>
      <c r="K782" s="365">
        <f>SUM(K780:K781)</f>
        <v>5068545.62</v>
      </c>
      <c r="L782" s="367"/>
      <c r="M782" s="365"/>
      <c r="N782" s="368">
        <f>AVERAGE(N780:N781)</f>
        <v>1</v>
      </c>
      <c r="O782" s="369"/>
      <c r="P782" s="176"/>
      <c r="Q782" s="497"/>
      <c r="R782" s="496"/>
    </row>
    <row r="783" spans="1:22" s="5" customFormat="1" ht="33" x14ac:dyDescent="0.25">
      <c r="A783" s="1027">
        <v>18</v>
      </c>
      <c r="B783" s="1025" t="s">
        <v>209</v>
      </c>
      <c r="C783" s="197" t="s">
        <v>500</v>
      </c>
      <c r="D783" s="162">
        <v>3945635.12</v>
      </c>
      <c r="E783" s="197" t="s">
        <v>1052</v>
      </c>
      <c r="F783" s="197" t="s">
        <v>958</v>
      </c>
      <c r="G783" s="353">
        <v>3575000</v>
      </c>
      <c r="H783" s="161">
        <v>42731</v>
      </c>
      <c r="I783" s="161">
        <v>42656</v>
      </c>
      <c r="J783" s="162">
        <v>3945635.12</v>
      </c>
      <c r="K783" s="162">
        <v>3945635.12</v>
      </c>
      <c r="L783" s="161">
        <v>42695</v>
      </c>
      <c r="M783" s="199"/>
      <c r="N783" s="200">
        <v>1</v>
      </c>
      <c r="O783" s="370"/>
      <c r="P783" s="176"/>
      <c r="Q783" s="201" t="s">
        <v>1116</v>
      </c>
      <c r="R783" s="620"/>
      <c r="S783" s="19"/>
      <c r="T783" s="19"/>
      <c r="U783" s="19"/>
      <c r="V783" s="19"/>
    </row>
    <row r="784" spans="1:22" ht="49.5" outlineLevel="1" x14ac:dyDescent="0.25">
      <c r="A784" s="1028"/>
      <c r="B784" s="1026"/>
      <c r="C784" s="356" t="s">
        <v>37</v>
      </c>
      <c r="D784" s="357">
        <f>81088.68*1.18</f>
        <v>95684.642399999982</v>
      </c>
      <c r="E784" s="358" t="s">
        <v>559</v>
      </c>
      <c r="F784" s="358" t="s">
        <v>535</v>
      </c>
      <c r="G784" s="359">
        <f>81088.68*1.18</f>
        <v>95684.642399999982</v>
      </c>
      <c r="H784" s="360">
        <v>42458</v>
      </c>
      <c r="I784" s="360">
        <v>42496</v>
      </c>
      <c r="J784" s="361">
        <v>95684.64</v>
      </c>
      <c r="K784" s="361">
        <v>95684.64</v>
      </c>
      <c r="L784" s="360"/>
      <c r="M784" s="361">
        <f>J784-D784</f>
        <v>-2.3999999830266461E-3</v>
      </c>
      <c r="N784" s="362"/>
      <c r="O784" s="466" t="s">
        <v>714</v>
      </c>
      <c r="P784" s="176"/>
      <c r="Q784" s="497"/>
      <c r="R784" s="496"/>
    </row>
    <row r="785" spans="1:22" ht="17.25" outlineLevel="1" thickBot="1" x14ac:dyDescent="0.3">
      <c r="A785" s="1006" t="s">
        <v>628</v>
      </c>
      <c r="B785" s="1007"/>
      <c r="C785" s="364"/>
      <c r="D785" s="365">
        <f>SUM(D783:D784)</f>
        <v>4041319.7623999999</v>
      </c>
      <c r="E785" s="239"/>
      <c r="F785" s="239"/>
      <c r="G785" s="366">
        <f>SUM(G783:G784)</f>
        <v>3670684.6423999998</v>
      </c>
      <c r="H785" s="239"/>
      <c r="I785" s="321"/>
      <c r="J785" s="365">
        <f t="shared" ref="J785" si="71">SUM(J783:J784)</f>
        <v>4041319.7600000002</v>
      </c>
      <c r="K785" s="365">
        <f>SUM(K783:K784)</f>
        <v>4041319.7600000002</v>
      </c>
      <c r="L785" s="367"/>
      <c r="M785" s="365"/>
      <c r="N785" s="368">
        <f>AVERAGE(N783:N784)</f>
        <v>1</v>
      </c>
      <c r="O785" s="369"/>
      <c r="P785" s="176"/>
      <c r="Q785" s="497"/>
      <c r="R785" s="496"/>
    </row>
    <row r="786" spans="1:22" s="69" customFormat="1" ht="45" customHeight="1" x14ac:dyDescent="0.25">
      <c r="A786" s="632">
        <v>19</v>
      </c>
      <c r="B786" s="633" t="s">
        <v>190</v>
      </c>
      <c r="C786" s="197" t="s">
        <v>500</v>
      </c>
      <c r="D786" s="162">
        <v>5994434.9000000004</v>
      </c>
      <c r="E786" s="197" t="s">
        <v>957</v>
      </c>
      <c r="F786" s="197" t="s">
        <v>958</v>
      </c>
      <c r="G786" s="353">
        <v>7550000</v>
      </c>
      <c r="H786" s="161">
        <v>42613</v>
      </c>
      <c r="I786" s="161">
        <v>42564</v>
      </c>
      <c r="J786" s="162">
        <v>5994434.9000000004</v>
      </c>
      <c r="K786" s="162">
        <v>5994434.9000000004</v>
      </c>
      <c r="L786" s="161"/>
      <c r="M786" s="162"/>
      <c r="N786" s="200">
        <v>1</v>
      </c>
      <c r="O786" s="382"/>
      <c r="P786" s="457"/>
      <c r="Q786" s="622"/>
      <c r="R786" s="626"/>
      <c r="S786" s="67"/>
      <c r="T786" s="67"/>
      <c r="U786" s="68"/>
      <c r="V786" s="68"/>
    </row>
    <row r="787" spans="1:22" ht="17.25" outlineLevel="1" thickBot="1" x14ac:dyDescent="0.3">
      <c r="A787" s="1010" t="s">
        <v>628</v>
      </c>
      <c r="B787" s="1011"/>
      <c r="C787" s="377"/>
      <c r="D787" s="365">
        <f>SUM(D786:D786)</f>
        <v>5994434.9000000004</v>
      </c>
      <c r="E787" s="247"/>
      <c r="F787" s="247"/>
      <c r="G787" s="366">
        <f>SUM(G786:G786)</f>
        <v>7550000</v>
      </c>
      <c r="H787" s="247"/>
      <c r="I787" s="277"/>
      <c r="J787" s="365">
        <f>SUM(J786:J786)</f>
        <v>5994434.9000000004</v>
      </c>
      <c r="K787" s="365">
        <f>SUM(K786:K786)</f>
        <v>5994434.9000000004</v>
      </c>
      <c r="L787" s="380"/>
      <c r="M787" s="378"/>
      <c r="N787" s="395">
        <f>AVERAGE(N786)</f>
        <v>1</v>
      </c>
      <c r="O787" s="381"/>
      <c r="P787" s="176"/>
      <c r="Q787" s="497"/>
      <c r="R787" s="496"/>
    </row>
    <row r="788" spans="1:22" s="5" customFormat="1" ht="33" x14ac:dyDescent="0.25">
      <c r="A788" s="1027">
        <v>20</v>
      </c>
      <c r="B788" s="1025" t="s">
        <v>206</v>
      </c>
      <c r="C788" s="197" t="s">
        <v>500</v>
      </c>
      <c r="D788" s="162">
        <v>3812177</v>
      </c>
      <c r="E788" s="197" t="s">
        <v>959</v>
      </c>
      <c r="F788" s="197" t="s">
        <v>592</v>
      </c>
      <c r="G788" s="353">
        <v>6071247.5</v>
      </c>
      <c r="H788" s="161">
        <v>42593</v>
      </c>
      <c r="I788" s="161">
        <v>42592</v>
      </c>
      <c r="J788" s="162">
        <v>3812177</v>
      </c>
      <c r="K788" s="162">
        <v>3812177</v>
      </c>
      <c r="L788" s="198"/>
      <c r="M788" s="199"/>
      <c r="N788" s="200">
        <v>1</v>
      </c>
      <c r="O788" s="370"/>
      <c r="P788" s="176"/>
      <c r="Q788" s="497"/>
      <c r="R788" s="620"/>
      <c r="S788" s="19"/>
      <c r="T788" s="19"/>
      <c r="U788" s="19"/>
      <c r="V788" s="19"/>
    </row>
    <row r="789" spans="1:22" ht="49.5" outlineLevel="1" x14ac:dyDescent="0.25">
      <c r="A789" s="1028"/>
      <c r="B789" s="1026"/>
      <c r="C789" s="356" t="s">
        <v>37</v>
      </c>
      <c r="D789" s="357">
        <f>95418.7*1.18</f>
        <v>112594.06599999999</v>
      </c>
      <c r="E789" s="358" t="s">
        <v>559</v>
      </c>
      <c r="F789" s="358" t="s">
        <v>535</v>
      </c>
      <c r="G789" s="359">
        <f>95418.7*1.18</f>
        <v>112594.06599999999</v>
      </c>
      <c r="H789" s="360">
        <v>42458</v>
      </c>
      <c r="I789" s="360">
        <v>42496</v>
      </c>
      <c r="J789" s="361">
        <v>112594.07</v>
      </c>
      <c r="K789" s="361">
        <v>112594.07</v>
      </c>
      <c r="L789" s="360"/>
      <c r="M789" s="361">
        <f>J789-D789</f>
        <v>4.0000000153668225E-3</v>
      </c>
      <c r="N789" s="362"/>
      <c r="O789" s="466" t="s">
        <v>709</v>
      </c>
      <c r="P789" s="176"/>
      <c r="Q789" s="497"/>
      <c r="R789" s="496"/>
    </row>
    <row r="790" spans="1:22" ht="17.25" outlineLevel="1" thickBot="1" x14ac:dyDescent="0.3">
      <c r="A790" s="1006" t="s">
        <v>628</v>
      </c>
      <c r="B790" s="1007"/>
      <c r="C790" s="364"/>
      <c r="D790" s="365">
        <f>SUM(D788:D789)</f>
        <v>3924771.0660000001</v>
      </c>
      <c r="E790" s="239"/>
      <c r="F790" s="239"/>
      <c r="G790" s="366">
        <f>SUM(G788:G789)</f>
        <v>6183841.5659999996</v>
      </c>
      <c r="H790" s="239"/>
      <c r="I790" s="321"/>
      <c r="J790" s="365">
        <f t="shared" ref="J790" si="72">SUM(J788:J789)</f>
        <v>3924771.07</v>
      </c>
      <c r="K790" s="365">
        <f>SUM(K788:K789)</f>
        <v>3924771.07</v>
      </c>
      <c r="L790" s="367"/>
      <c r="M790" s="365"/>
      <c r="N790" s="368">
        <f>AVERAGE(N788:N789)</f>
        <v>1</v>
      </c>
      <c r="O790" s="369"/>
      <c r="P790" s="176"/>
      <c r="Q790" s="497"/>
      <c r="R790" s="496"/>
    </row>
    <row r="791" spans="1:22" s="5" customFormat="1" ht="33" x14ac:dyDescent="0.25">
      <c r="A791" s="1027">
        <v>21</v>
      </c>
      <c r="B791" s="1025" t="s">
        <v>203</v>
      </c>
      <c r="C791" s="197" t="s">
        <v>500</v>
      </c>
      <c r="D791" s="162">
        <v>4259504.4400000004</v>
      </c>
      <c r="E791" s="197" t="s">
        <v>924</v>
      </c>
      <c r="F791" s="197" t="s">
        <v>593</v>
      </c>
      <c r="G791" s="353">
        <v>6069000</v>
      </c>
      <c r="H791" s="161">
        <v>42602</v>
      </c>
      <c r="I791" s="161">
        <v>42591</v>
      </c>
      <c r="J791" s="162">
        <v>4259504.4400000004</v>
      </c>
      <c r="K791" s="162">
        <v>4259504.4400000004</v>
      </c>
      <c r="L791" s="161">
        <v>42702</v>
      </c>
      <c r="M791" s="199"/>
      <c r="N791" s="200">
        <v>1</v>
      </c>
      <c r="O791" s="370"/>
      <c r="P791" s="176"/>
      <c r="Q791" s="530" t="s">
        <v>1128</v>
      </c>
      <c r="R791" s="620"/>
      <c r="S791" s="19"/>
      <c r="T791" s="19"/>
      <c r="U791" s="19"/>
      <c r="V791" s="19"/>
    </row>
    <row r="792" spans="1:22" ht="49.5" outlineLevel="1" x14ac:dyDescent="0.25">
      <c r="A792" s="1028"/>
      <c r="B792" s="1026"/>
      <c r="C792" s="356" t="s">
        <v>37</v>
      </c>
      <c r="D792" s="357">
        <f>85095.15*1.18</f>
        <v>100412.27699999999</v>
      </c>
      <c r="E792" s="358" t="s">
        <v>559</v>
      </c>
      <c r="F792" s="358" t="s">
        <v>536</v>
      </c>
      <c r="G792" s="359">
        <f>85095.15*1.18</f>
        <v>100412.27699999999</v>
      </c>
      <c r="H792" s="360">
        <v>42458</v>
      </c>
      <c r="I792" s="360">
        <v>42496</v>
      </c>
      <c r="J792" s="361">
        <v>100412.28</v>
      </c>
      <c r="K792" s="361">
        <v>100412.28</v>
      </c>
      <c r="L792" s="360"/>
      <c r="M792" s="361">
        <f>J792-D792</f>
        <v>3.0000000115251169E-3</v>
      </c>
      <c r="N792" s="362"/>
      <c r="O792" s="466" t="s">
        <v>709</v>
      </c>
      <c r="P792" s="176"/>
      <c r="Q792" s="497"/>
      <c r="R792" s="496"/>
    </row>
    <row r="793" spans="1:22" ht="17.25" outlineLevel="1" thickBot="1" x14ac:dyDescent="0.3">
      <c r="A793" s="1010" t="s">
        <v>628</v>
      </c>
      <c r="B793" s="1011"/>
      <c r="C793" s="377"/>
      <c r="D793" s="365">
        <f>SUM(D791:D792)</f>
        <v>4359916.7170000002</v>
      </c>
      <c r="E793" s="247"/>
      <c r="F793" s="247"/>
      <c r="G793" s="366">
        <f>SUM(G791:G792)</f>
        <v>6169412.2769999998</v>
      </c>
      <c r="H793" s="247"/>
      <c r="I793" s="277"/>
      <c r="J793" s="365">
        <f t="shared" ref="J793" si="73">SUM(J791:J792)</f>
        <v>4359916.7200000007</v>
      </c>
      <c r="K793" s="365">
        <f>SUM(K791:K792)</f>
        <v>4359916.7200000007</v>
      </c>
      <c r="L793" s="380"/>
      <c r="M793" s="378"/>
      <c r="N793" s="368">
        <f>AVERAGE(N791:N792)</f>
        <v>1</v>
      </c>
      <c r="O793" s="381"/>
      <c r="P793" s="176"/>
      <c r="Q793" s="497"/>
      <c r="R793" s="496"/>
    </row>
    <row r="794" spans="1:22" s="69" customFormat="1" ht="30" customHeight="1" x14ac:dyDescent="0.25">
      <c r="A794" s="1027">
        <v>22</v>
      </c>
      <c r="B794" s="1025" t="s">
        <v>18</v>
      </c>
      <c r="C794" s="197" t="s">
        <v>500</v>
      </c>
      <c r="D794" s="162">
        <v>4362451.74</v>
      </c>
      <c r="E794" s="197" t="s">
        <v>1158</v>
      </c>
      <c r="F794" s="197" t="s">
        <v>768</v>
      </c>
      <c r="G794" s="353">
        <v>4340639.4800000004</v>
      </c>
      <c r="H794" s="633"/>
      <c r="I794" s="161">
        <v>42720</v>
      </c>
      <c r="J794" s="162">
        <v>4126301.88</v>
      </c>
      <c r="K794" s="162">
        <v>4126301.88</v>
      </c>
      <c r="L794" s="198"/>
      <c r="M794" s="199"/>
      <c r="N794" s="200">
        <v>0.1</v>
      </c>
      <c r="O794" s="382"/>
      <c r="P794" s="457"/>
      <c r="Q794" s="622"/>
      <c r="R794" s="623"/>
      <c r="S794" s="68"/>
      <c r="T794" s="68"/>
      <c r="U794" s="68"/>
      <c r="V794" s="68"/>
    </row>
    <row r="795" spans="1:22" ht="49.5" outlineLevel="1" x14ac:dyDescent="0.25">
      <c r="A795" s="1028"/>
      <c r="B795" s="1026"/>
      <c r="C795" s="356" t="s">
        <v>37</v>
      </c>
      <c r="D795" s="357">
        <v>90987.919999999984</v>
      </c>
      <c r="E795" s="358" t="s">
        <v>559</v>
      </c>
      <c r="F795" s="358" t="s">
        <v>535</v>
      </c>
      <c r="G795" s="359">
        <f>77108.42*1.18</f>
        <v>90987.935599999997</v>
      </c>
      <c r="H795" s="360">
        <v>42458</v>
      </c>
      <c r="I795" s="360">
        <v>42496</v>
      </c>
      <c r="J795" s="361">
        <v>90987.919999999984</v>
      </c>
      <c r="K795" s="361">
        <v>90987.919999999984</v>
      </c>
      <c r="L795" s="360"/>
      <c r="M795" s="361">
        <f>J795-D795</f>
        <v>0</v>
      </c>
      <c r="N795" s="362"/>
      <c r="O795" s="466" t="s">
        <v>856</v>
      </c>
      <c r="P795" s="176"/>
      <c r="Q795" s="497"/>
      <c r="R795" s="496"/>
    </row>
    <row r="796" spans="1:22" ht="17.25" outlineLevel="1" thickBot="1" x14ac:dyDescent="0.3">
      <c r="A796" s="1006" t="s">
        <v>628</v>
      </c>
      <c r="B796" s="1007"/>
      <c r="C796" s="364"/>
      <c r="D796" s="365">
        <f>SUM(D794:D795)</f>
        <v>4453439.66</v>
      </c>
      <c r="E796" s="239"/>
      <c r="F796" s="239"/>
      <c r="G796" s="366">
        <f>SUM(G794:G795)</f>
        <v>4431627.4156000009</v>
      </c>
      <c r="H796" s="239"/>
      <c r="I796" s="321"/>
      <c r="J796" s="365">
        <f t="shared" ref="J796" si="74">SUM(J794:J795)</f>
        <v>4217289.8</v>
      </c>
      <c r="K796" s="365">
        <f>SUM(K794:K795)</f>
        <v>4217289.8</v>
      </c>
      <c r="L796" s="367"/>
      <c r="M796" s="365"/>
      <c r="N796" s="368">
        <f>AVERAGE(N794:N795)</f>
        <v>0.1</v>
      </c>
      <c r="O796" s="369"/>
      <c r="P796" s="176"/>
      <c r="Q796" s="497"/>
      <c r="R796" s="496"/>
    </row>
    <row r="797" spans="1:22" s="5" customFormat="1" ht="38.25" customHeight="1" x14ac:dyDescent="0.25">
      <c r="A797" s="396">
        <v>23</v>
      </c>
      <c r="B797" s="397" t="s">
        <v>191</v>
      </c>
      <c r="C797" s="197" t="s">
        <v>501</v>
      </c>
      <c r="D797" s="162">
        <v>14450000</v>
      </c>
      <c r="E797" s="197" t="s">
        <v>977</v>
      </c>
      <c r="F797" s="197" t="s">
        <v>958</v>
      </c>
      <c r="G797" s="353">
        <v>12450000</v>
      </c>
      <c r="H797" s="161">
        <v>42704</v>
      </c>
      <c r="I797" s="161">
        <v>42720</v>
      </c>
      <c r="J797" s="162">
        <v>10739194.41</v>
      </c>
      <c r="K797" s="162">
        <v>10739194.41</v>
      </c>
      <c r="L797" s="161">
        <v>42726</v>
      </c>
      <c r="M797" s="162"/>
      <c r="N797" s="200">
        <v>0.7</v>
      </c>
      <c r="O797" s="370"/>
      <c r="P797" s="176"/>
      <c r="Q797" s="497"/>
      <c r="R797" s="496"/>
      <c r="S797" s="18"/>
      <c r="T797" s="18"/>
      <c r="U797" s="19"/>
      <c r="V797" s="19"/>
    </row>
    <row r="798" spans="1:22" ht="17.25" outlineLevel="1" thickBot="1" x14ac:dyDescent="0.3">
      <c r="A798" s="1006" t="s">
        <v>628</v>
      </c>
      <c r="B798" s="1007"/>
      <c r="C798" s="364"/>
      <c r="D798" s="365">
        <f>SUM(D797:D797)</f>
        <v>14450000</v>
      </c>
      <c r="E798" s="188"/>
      <c r="F798" s="188"/>
      <c r="G798" s="366">
        <f>SUM(G797:G797)</f>
        <v>12450000</v>
      </c>
      <c r="H798" s="188"/>
      <c r="I798" s="190"/>
      <c r="J798" s="365">
        <f>SUM(J797:J797)</f>
        <v>10739194.41</v>
      </c>
      <c r="K798" s="365">
        <f>SUM(K797:K797)</f>
        <v>10739194.41</v>
      </c>
      <c r="L798" s="367"/>
      <c r="M798" s="365"/>
      <c r="N798" s="395">
        <f>AVERAGE(N797)</f>
        <v>0.7</v>
      </c>
      <c r="O798" s="369"/>
      <c r="P798" s="176"/>
      <c r="Q798" s="497"/>
      <c r="R798" s="620"/>
      <c r="S798" s="19"/>
      <c r="T798" s="19"/>
    </row>
    <row r="799" spans="1:22" s="5" customFormat="1" ht="33" x14ac:dyDescent="0.25">
      <c r="A799" s="1027">
        <v>24</v>
      </c>
      <c r="B799" s="1025" t="s">
        <v>192</v>
      </c>
      <c r="C799" s="197" t="s">
        <v>38</v>
      </c>
      <c r="D799" s="162">
        <v>480778</v>
      </c>
      <c r="E799" s="197" t="s">
        <v>590</v>
      </c>
      <c r="F799" s="197" t="s">
        <v>589</v>
      </c>
      <c r="G799" s="353">
        <v>529960.17248546553</v>
      </c>
      <c r="H799" s="161">
        <v>42551</v>
      </c>
      <c r="I799" s="161">
        <v>42495</v>
      </c>
      <c r="J799" s="162">
        <v>480778</v>
      </c>
      <c r="K799" s="162">
        <v>480778</v>
      </c>
      <c r="L799" s="161"/>
      <c r="M799" s="162"/>
      <c r="N799" s="200">
        <v>1</v>
      </c>
      <c r="O799" s="453"/>
      <c r="P799" s="176"/>
      <c r="Q799" s="177"/>
      <c r="R799" s="496"/>
      <c r="S799" s="19"/>
      <c r="T799" s="18"/>
      <c r="U799" s="19"/>
      <c r="V799" s="19"/>
    </row>
    <row r="800" spans="1:22" ht="33" outlineLevel="1" x14ac:dyDescent="0.25">
      <c r="A800" s="1028"/>
      <c r="B800" s="1026"/>
      <c r="C800" s="253" t="s">
        <v>34</v>
      </c>
      <c r="D800" s="163">
        <v>2411728.04</v>
      </c>
      <c r="E800" s="253" t="s">
        <v>658</v>
      </c>
      <c r="F800" s="253" t="s">
        <v>591</v>
      </c>
      <c r="G800" s="354">
        <v>2452679.56</v>
      </c>
      <c r="H800" s="210">
        <v>42551</v>
      </c>
      <c r="I800" s="210">
        <v>42543</v>
      </c>
      <c r="J800" s="163">
        <v>2411728.0399999996</v>
      </c>
      <c r="K800" s="163">
        <v>2411728.04</v>
      </c>
      <c r="L800" s="210"/>
      <c r="M800" s="163"/>
      <c r="N800" s="213">
        <v>1</v>
      </c>
      <c r="O800" s="300"/>
      <c r="P800" s="176"/>
      <c r="Q800" s="177"/>
      <c r="R800" s="496"/>
    </row>
    <row r="801" spans="1:22" ht="33" outlineLevel="1" x14ac:dyDescent="0.25">
      <c r="A801" s="1028"/>
      <c r="B801" s="1026"/>
      <c r="C801" s="253" t="s">
        <v>35</v>
      </c>
      <c r="D801" s="163">
        <v>244084.24</v>
      </c>
      <c r="E801" s="253" t="s">
        <v>658</v>
      </c>
      <c r="F801" s="253" t="s">
        <v>591</v>
      </c>
      <c r="G801" s="354">
        <v>281459.5</v>
      </c>
      <c r="H801" s="210">
        <v>42415</v>
      </c>
      <c r="I801" s="210">
        <v>42415</v>
      </c>
      <c r="J801" s="163">
        <v>244084.24</v>
      </c>
      <c r="K801" s="163">
        <v>244084.24</v>
      </c>
      <c r="L801" s="210"/>
      <c r="M801" s="163">
        <f>J801-D801</f>
        <v>0</v>
      </c>
      <c r="N801" s="213">
        <v>1</v>
      </c>
      <c r="O801" s="491"/>
      <c r="P801" s="176"/>
      <c r="Q801" s="177"/>
      <c r="R801" s="496"/>
    </row>
    <row r="802" spans="1:22" ht="33" outlineLevel="1" x14ac:dyDescent="0.25">
      <c r="A802" s="1028"/>
      <c r="B802" s="1026"/>
      <c r="C802" s="253" t="s">
        <v>36</v>
      </c>
      <c r="D802" s="163">
        <v>285034.46000000002</v>
      </c>
      <c r="E802" s="253" t="s">
        <v>658</v>
      </c>
      <c r="F802" s="253" t="s">
        <v>591</v>
      </c>
      <c r="G802" s="354">
        <v>293576.92</v>
      </c>
      <c r="H802" s="210">
        <v>42429</v>
      </c>
      <c r="I802" s="210">
        <v>42415</v>
      </c>
      <c r="J802" s="163">
        <v>285034.45999999996</v>
      </c>
      <c r="K802" s="163">
        <v>285034.46000000002</v>
      </c>
      <c r="L802" s="210"/>
      <c r="M802" s="163">
        <f t="shared" ref="M802:M804" si="75">J802-D802</f>
        <v>0</v>
      </c>
      <c r="N802" s="213">
        <v>1</v>
      </c>
      <c r="O802" s="491"/>
      <c r="P802" s="176"/>
      <c r="Q802" s="177"/>
      <c r="R802" s="496"/>
    </row>
    <row r="803" spans="1:22" ht="33" outlineLevel="1" x14ac:dyDescent="0.25">
      <c r="A803" s="1028"/>
      <c r="B803" s="1026"/>
      <c r="C803" s="253" t="s">
        <v>500</v>
      </c>
      <c r="D803" s="163">
        <v>3813873.95</v>
      </c>
      <c r="E803" s="253" t="s">
        <v>594</v>
      </c>
      <c r="F803" s="253" t="s">
        <v>589</v>
      </c>
      <c r="G803" s="354">
        <v>4391914.3770757588</v>
      </c>
      <c r="H803" s="210">
        <v>42459</v>
      </c>
      <c r="I803" s="210">
        <v>42459</v>
      </c>
      <c r="J803" s="163">
        <v>3813873.95</v>
      </c>
      <c r="K803" s="163">
        <v>3813873.95</v>
      </c>
      <c r="L803" s="210"/>
      <c r="M803" s="163">
        <f t="shared" si="75"/>
        <v>0</v>
      </c>
      <c r="N803" s="213">
        <v>1</v>
      </c>
      <c r="O803" s="491"/>
      <c r="P803" s="176"/>
      <c r="Q803" s="177"/>
      <c r="R803" s="496"/>
    </row>
    <row r="804" spans="1:22" ht="33" outlineLevel="1" x14ac:dyDescent="0.25">
      <c r="A804" s="1028"/>
      <c r="B804" s="1026"/>
      <c r="C804" s="253" t="s">
        <v>501</v>
      </c>
      <c r="D804" s="163">
        <v>4683392.96</v>
      </c>
      <c r="E804" s="253" t="s">
        <v>594</v>
      </c>
      <c r="F804" s="253" t="s">
        <v>589</v>
      </c>
      <c r="G804" s="354">
        <v>5188841.9996417761</v>
      </c>
      <c r="H804" s="210">
        <v>42551</v>
      </c>
      <c r="I804" s="210">
        <v>42535</v>
      </c>
      <c r="J804" s="163">
        <v>4683392.96</v>
      </c>
      <c r="K804" s="163">
        <v>4683392.96</v>
      </c>
      <c r="L804" s="210"/>
      <c r="M804" s="163">
        <f t="shared" si="75"/>
        <v>0</v>
      </c>
      <c r="N804" s="213">
        <v>1</v>
      </c>
      <c r="O804" s="491"/>
      <c r="P804" s="176"/>
      <c r="Q804" s="177"/>
      <c r="R804" s="496"/>
      <c r="T804" s="19"/>
    </row>
    <row r="805" spans="1:22" ht="33" outlineLevel="1" x14ac:dyDescent="0.25">
      <c r="A805" s="1028"/>
      <c r="B805" s="1026"/>
      <c r="C805" s="253" t="s">
        <v>515</v>
      </c>
      <c r="D805" s="163">
        <v>740323.74</v>
      </c>
      <c r="E805" s="273" t="s">
        <v>760</v>
      </c>
      <c r="F805" s="253" t="s">
        <v>761</v>
      </c>
      <c r="G805" s="354">
        <v>776412.86</v>
      </c>
      <c r="H805" s="210">
        <v>42583</v>
      </c>
      <c r="I805" s="210">
        <v>42551</v>
      </c>
      <c r="J805" s="163">
        <v>740323.74</v>
      </c>
      <c r="K805" s="163">
        <v>740323.74</v>
      </c>
      <c r="L805" s="210"/>
      <c r="M805" s="163"/>
      <c r="N805" s="213">
        <v>1</v>
      </c>
      <c r="O805" s="301"/>
      <c r="P805" s="176"/>
      <c r="Q805" s="497"/>
      <c r="R805" s="496"/>
    </row>
    <row r="806" spans="1:22" s="75" customFormat="1" ht="33" outlineLevel="1" x14ac:dyDescent="0.25">
      <c r="A806" s="1028"/>
      <c r="B806" s="1026"/>
      <c r="C806" s="253" t="s">
        <v>1076</v>
      </c>
      <c r="D806" s="163">
        <v>33256.67</v>
      </c>
      <c r="E806" s="273" t="s">
        <v>1077</v>
      </c>
      <c r="F806" s="253" t="s">
        <v>1078</v>
      </c>
      <c r="G806" s="163">
        <v>33256.67</v>
      </c>
      <c r="H806" s="210"/>
      <c r="I806" s="621">
        <v>42604</v>
      </c>
      <c r="J806" s="163">
        <v>33256.67</v>
      </c>
      <c r="K806" s="163">
        <v>33256.67</v>
      </c>
      <c r="L806" s="210"/>
      <c r="M806" s="163"/>
      <c r="N806" s="213"/>
      <c r="O806" s="531"/>
      <c r="P806" s="457"/>
      <c r="Q806" s="622"/>
      <c r="R806" s="626"/>
      <c r="S806" s="67"/>
      <c r="T806" s="67"/>
      <c r="U806" s="67"/>
      <c r="V806" s="67"/>
    </row>
    <row r="807" spans="1:22" ht="49.5" outlineLevel="1" x14ac:dyDescent="0.25">
      <c r="A807" s="1028"/>
      <c r="B807" s="1026"/>
      <c r="C807" s="294" t="s">
        <v>37</v>
      </c>
      <c r="D807" s="180">
        <f>79307.86*1.18</f>
        <v>93583.274799999999</v>
      </c>
      <c r="E807" s="181" t="s">
        <v>559</v>
      </c>
      <c r="F807" s="181" t="s">
        <v>535</v>
      </c>
      <c r="G807" s="182">
        <f>79307.86*1.18</f>
        <v>93583.274799999999</v>
      </c>
      <c r="H807" s="183">
        <v>42458</v>
      </c>
      <c r="I807" s="183">
        <v>42408</v>
      </c>
      <c r="J807" s="184">
        <v>93583.26999999999</v>
      </c>
      <c r="K807" s="184">
        <v>93583.26999999999</v>
      </c>
      <c r="L807" s="183"/>
      <c r="M807" s="184">
        <f>J807-D807</f>
        <v>-4.8000000097090378E-3</v>
      </c>
      <c r="N807" s="202"/>
      <c r="O807" s="283"/>
      <c r="P807" s="176"/>
      <c r="Q807" s="177"/>
      <c r="R807" s="132"/>
    </row>
    <row r="808" spans="1:22" ht="17.25" outlineLevel="1" thickBot="1" x14ac:dyDescent="0.3">
      <c r="A808" s="1006" t="s">
        <v>628</v>
      </c>
      <c r="B808" s="1007"/>
      <c r="C808" s="364"/>
      <c r="D808" s="365">
        <f>SUM(D799:D807)</f>
        <v>12786055.334800001</v>
      </c>
      <c r="E808" s="239"/>
      <c r="F808" s="239"/>
      <c r="G808" s="366">
        <f>SUM(G799:G807)</f>
        <v>14041685.334003001</v>
      </c>
      <c r="H808" s="239"/>
      <c r="I808" s="494"/>
      <c r="J808" s="365">
        <f>SUM(J799:J807)</f>
        <v>12786055.329999998</v>
      </c>
      <c r="K808" s="365">
        <f>SUM(K799:K807)</f>
        <v>12786055.33</v>
      </c>
      <c r="L808" s="367"/>
      <c r="M808" s="365"/>
      <c r="N808" s="368">
        <f>AVERAGE(N799:N807)</f>
        <v>1</v>
      </c>
      <c r="O808" s="369"/>
      <c r="P808" s="176"/>
      <c r="Q808" s="497"/>
      <c r="R808" s="496"/>
    </row>
    <row r="809" spans="1:22" s="5" customFormat="1" ht="33" x14ac:dyDescent="0.25">
      <c r="A809" s="1027">
        <v>25</v>
      </c>
      <c r="B809" s="1025" t="s">
        <v>193</v>
      </c>
      <c r="C809" s="197" t="s">
        <v>38</v>
      </c>
      <c r="D809" s="162">
        <v>491897.59</v>
      </c>
      <c r="E809" s="197" t="s">
        <v>590</v>
      </c>
      <c r="F809" s="197" t="s">
        <v>589</v>
      </c>
      <c r="G809" s="353">
        <v>547116.83448277914</v>
      </c>
      <c r="H809" s="161">
        <v>42551</v>
      </c>
      <c r="I809" s="161">
        <v>42495</v>
      </c>
      <c r="J809" s="162">
        <v>491897.58999999997</v>
      </c>
      <c r="K809" s="162">
        <v>491897.58999999997</v>
      </c>
      <c r="L809" s="161"/>
      <c r="M809" s="162"/>
      <c r="N809" s="200">
        <v>1</v>
      </c>
      <c r="O809" s="370"/>
      <c r="P809" s="176"/>
      <c r="Q809" s="177"/>
      <c r="R809" s="496"/>
      <c r="S809" s="19"/>
      <c r="T809" s="18"/>
      <c r="U809" s="19"/>
      <c r="V809" s="19"/>
    </row>
    <row r="810" spans="1:22" ht="33" outlineLevel="1" x14ac:dyDescent="0.25">
      <c r="A810" s="1028"/>
      <c r="B810" s="1026"/>
      <c r="C810" s="253" t="s">
        <v>34</v>
      </c>
      <c r="D810" s="163">
        <v>4464951.32</v>
      </c>
      <c r="E810" s="253" t="s">
        <v>658</v>
      </c>
      <c r="F810" s="253" t="s">
        <v>591</v>
      </c>
      <c r="G810" s="354">
        <v>4650035.4400000004</v>
      </c>
      <c r="H810" s="210">
        <v>42551</v>
      </c>
      <c r="I810" s="210">
        <v>42543</v>
      </c>
      <c r="J810" s="163">
        <v>4464951.32</v>
      </c>
      <c r="K810" s="163">
        <v>4464951.32</v>
      </c>
      <c r="L810" s="210"/>
      <c r="M810" s="163"/>
      <c r="N810" s="213">
        <v>1</v>
      </c>
      <c r="O810" s="301"/>
      <c r="P810" s="176"/>
      <c r="Q810" s="177"/>
      <c r="R810" s="496"/>
    </row>
    <row r="811" spans="1:22" ht="33" outlineLevel="1" x14ac:dyDescent="0.25">
      <c r="A811" s="1028"/>
      <c r="B811" s="1026"/>
      <c r="C811" s="253" t="s">
        <v>35</v>
      </c>
      <c r="D811" s="163">
        <v>310866.2</v>
      </c>
      <c r="E811" s="253" t="s">
        <v>658</v>
      </c>
      <c r="F811" s="253" t="s">
        <v>591</v>
      </c>
      <c r="G811" s="354">
        <v>367924</v>
      </c>
      <c r="H811" s="210">
        <v>42415</v>
      </c>
      <c r="I811" s="210">
        <v>42415</v>
      </c>
      <c r="J811" s="163">
        <v>310866.2</v>
      </c>
      <c r="K811" s="163">
        <v>310866.2</v>
      </c>
      <c r="L811" s="210"/>
      <c r="M811" s="163">
        <f t="shared" ref="M811:M814" si="76">J811-D811</f>
        <v>0</v>
      </c>
      <c r="N811" s="213">
        <v>1</v>
      </c>
      <c r="O811" s="531"/>
      <c r="P811" s="176"/>
      <c r="Q811" s="177"/>
      <c r="R811" s="496"/>
      <c r="T811" s="19"/>
    </row>
    <row r="812" spans="1:22" ht="33" outlineLevel="1" x14ac:dyDescent="0.25">
      <c r="A812" s="1028"/>
      <c r="B812" s="1026"/>
      <c r="C812" s="253" t="s">
        <v>36</v>
      </c>
      <c r="D812" s="163">
        <v>265208.19</v>
      </c>
      <c r="E812" s="253" t="s">
        <v>658</v>
      </c>
      <c r="F812" s="253" t="s">
        <v>591</v>
      </c>
      <c r="G812" s="354">
        <v>301728.36</v>
      </c>
      <c r="H812" s="210">
        <v>42429</v>
      </c>
      <c r="I812" s="210">
        <v>42415</v>
      </c>
      <c r="J812" s="163">
        <v>265208.19</v>
      </c>
      <c r="K812" s="163">
        <v>265208.19</v>
      </c>
      <c r="L812" s="210"/>
      <c r="M812" s="163">
        <f t="shared" si="76"/>
        <v>0</v>
      </c>
      <c r="N812" s="213">
        <v>1</v>
      </c>
      <c r="O812" s="531"/>
      <c r="P812" s="176"/>
      <c r="Q812" s="177"/>
      <c r="R812" s="496"/>
    </row>
    <row r="813" spans="1:22" ht="33" outlineLevel="1" x14ac:dyDescent="0.25">
      <c r="A813" s="1028"/>
      <c r="B813" s="1026"/>
      <c r="C813" s="253" t="s">
        <v>500</v>
      </c>
      <c r="D813" s="163">
        <v>3814345.8</v>
      </c>
      <c r="E813" s="253" t="s">
        <v>594</v>
      </c>
      <c r="F813" s="253" t="s">
        <v>589</v>
      </c>
      <c r="G813" s="354">
        <v>4499677.9830922913</v>
      </c>
      <c r="H813" s="210">
        <v>42459</v>
      </c>
      <c r="I813" s="210">
        <v>42459</v>
      </c>
      <c r="J813" s="163">
        <v>3814345.8000000003</v>
      </c>
      <c r="K813" s="163">
        <v>3814345.8</v>
      </c>
      <c r="L813" s="210"/>
      <c r="M813" s="163">
        <f t="shared" si="76"/>
        <v>0</v>
      </c>
      <c r="N813" s="213">
        <v>1</v>
      </c>
      <c r="O813" s="531"/>
      <c r="P813" s="176"/>
      <c r="Q813" s="177"/>
      <c r="R813" s="496"/>
    </row>
    <row r="814" spans="1:22" ht="33.75" outlineLevel="1" thickBot="1" x14ac:dyDescent="0.3">
      <c r="A814" s="1028"/>
      <c r="B814" s="1026"/>
      <c r="C814" s="253" t="s">
        <v>501</v>
      </c>
      <c r="D814" s="163">
        <v>4547763.53</v>
      </c>
      <c r="E814" s="253" t="s">
        <v>594</v>
      </c>
      <c r="F814" s="253" t="s">
        <v>589</v>
      </c>
      <c r="G814" s="354">
        <v>5038787.2693511527</v>
      </c>
      <c r="H814" s="210">
        <v>42551</v>
      </c>
      <c r="I814" s="210">
        <v>42535</v>
      </c>
      <c r="J814" s="163">
        <v>4547763.53</v>
      </c>
      <c r="K814" s="163">
        <v>4547763.53</v>
      </c>
      <c r="L814" s="210"/>
      <c r="M814" s="163">
        <f t="shared" si="76"/>
        <v>0</v>
      </c>
      <c r="N814" s="213">
        <v>1</v>
      </c>
      <c r="O814" s="531"/>
      <c r="P814" s="176"/>
      <c r="Q814" s="177"/>
      <c r="R814" s="496"/>
    </row>
    <row r="815" spans="1:22" ht="33" outlineLevel="1" x14ac:dyDescent="0.25">
      <c r="A815" s="1028"/>
      <c r="B815" s="1026"/>
      <c r="C815" s="253" t="s">
        <v>515</v>
      </c>
      <c r="D815" s="163">
        <v>705088.94</v>
      </c>
      <c r="E815" s="197" t="s">
        <v>760</v>
      </c>
      <c r="F815" s="253" t="s">
        <v>761</v>
      </c>
      <c r="G815" s="354">
        <v>775675.36</v>
      </c>
      <c r="H815" s="210">
        <v>42583</v>
      </c>
      <c r="I815" s="619">
        <v>42551</v>
      </c>
      <c r="J815" s="163">
        <v>705088.94</v>
      </c>
      <c r="K815" s="163">
        <v>705088.94</v>
      </c>
      <c r="L815" s="210"/>
      <c r="M815" s="163"/>
      <c r="N815" s="213">
        <v>1</v>
      </c>
      <c r="O815" s="301"/>
      <c r="P815" s="176"/>
      <c r="Q815" s="177"/>
      <c r="R815" s="132"/>
    </row>
    <row r="816" spans="1:22" s="75" customFormat="1" ht="33" outlineLevel="1" x14ac:dyDescent="0.25">
      <c r="A816" s="1028"/>
      <c r="B816" s="1026"/>
      <c r="C816" s="253" t="s">
        <v>1076</v>
      </c>
      <c r="D816" s="163">
        <v>63051.33</v>
      </c>
      <c r="E816" s="273" t="s">
        <v>1077</v>
      </c>
      <c r="F816" s="253" t="s">
        <v>1078</v>
      </c>
      <c r="G816" s="163">
        <v>63051.33</v>
      </c>
      <c r="H816" s="210"/>
      <c r="I816" s="621">
        <v>42604</v>
      </c>
      <c r="J816" s="163">
        <v>63051.33</v>
      </c>
      <c r="K816" s="163">
        <v>63051.33</v>
      </c>
      <c r="L816" s="210"/>
      <c r="M816" s="163"/>
      <c r="N816" s="213"/>
      <c r="O816" s="531"/>
      <c r="P816" s="457"/>
      <c r="Q816" s="547"/>
      <c r="R816" s="383"/>
      <c r="S816" s="67"/>
      <c r="T816" s="67"/>
      <c r="U816" s="67"/>
      <c r="V816" s="67"/>
    </row>
    <row r="817" spans="1:22" ht="49.5" outlineLevel="1" x14ac:dyDescent="0.25">
      <c r="A817" s="1028"/>
      <c r="B817" s="1026"/>
      <c r="C817" s="294" t="s">
        <v>37</v>
      </c>
      <c r="D817" s="180">
        <f>78963.68*1.18</f>
        <v>93177.142399999982</v>
      </c>
      <c r="E817" s="181" t="s">
        <v>559</v>
      </c>
      <c r="F817" s="181" t="s">
        <v>535</v>
      </c>
      <c r="G817" s="182">
        <f>78963.68*1.18</f>
        <v>93177.142399999982</v>
      </c>
      <c r="H817" s="183">
        <v>42458</v>
      </c>
      <c r="I817" s="183">
        <v>42408</v>
      </c>
      <c r="J817" s="184">
        <v>93177.14</v>
      </c>
      <c r="K817" s="184">
        <v>93177.14</v>
      </c>
      <c r="L817" s="183"/>
      <c r="M817" s="184">
        <f>J817-D817</f>
        <v>-2.3999999830266461E-3</v>
      </c>
      <c r="N817" s="202"/>
      <c r="O817" s="283"/>
      <c r="P817" s="176"/>
      <c r="Q817" s="177"/>
      <c r="R817" s="132"/>
    </row>
    <row r="818" spans="1:22" ht="17.25" outlineLevel="1" thickBot="1" x14ac:dyDescent="0.3">
      <c r="A818" s="1006" t="s">
        <v>628</v>
      </c>
      <c r="B818" s="1007"/>
      <c r="C818" s="364"/>
      <c r="D818" s="365">
        <f>SUM(D809:D817)</f>
        <v>14756350.042400002</v>
      </c>
      <c r="E818" s="188"/>
      <c r="F818" s="188"/>
      <c r="G818" s="366">
        <f>SUM(G809:G817)</f>
        <v>16337173.719326224</v>
      </c>
      <c r="H818" s="188"/>
      <c r="I818" s="494"/>
      <c r="J818" s="365">
        <f>SUM(J809:J817)</f>
        <v>14756350.040000003</v>
      </c>
      <c r="K818" s="365">
        <f>SUM(K809:K817)</f>
        <v>14756350.040000003</v>
      </c>
      <c r="L818" s="367"/>
      <c r="M818" s="365"/>
      <c r="N818" s="368">
        <f>AVERAGE(N809:N817)</f>
        <v>1</v>
      </c>
      <c r="O818" s="369"/>
      <c r="P818" s="176"/>
      <c r="Q818" s="497"/>
      <c r="R818" s="620"/>
      <c r="S818" s="19"/>
      <c r="T818" s="19"/>
    </row>
    <row r="819" spans="1:22" s="5" customFormat="1" ht="33" x14ac:dyDescent="0.25">
      <c r="A819" s="1027">
        <v>26</v>
      </c>
      <c r="B819" s="1025" t="s">
        <v>194</v>
      </c>
      <c r="C819" s="197" t="s">
        <v>38</v>
      </c>
      <c r="D819" s="162">
        <v>561263.11</v>
      </c>
      <c r="E819" s="197" t="s">
        <v>590</v>
      </c>
      <c r="F819" s="197" t="s">
        <v>589</v>
      </c>
      <c r="G819" s="353">
        <v>600222.86355547444</v>
      </c>
      <c r="H819" s="161">
        <v>42551</v>
      </c>
      <c r="I819" s="161">
        <v>42537</v>
      </c>
      <c r="J819" s="162">
        <v>561263.11</v>
      </c>
      <c r="K819" s="162">
        <v>561263.11</v>
      </c>
      <c r="L819" s="161">
        <v>42695</v>
      </c>
      <c r="M819" s="162"/>
      <c r="N819" s="200">
        <v>1</v>
      </c>
      <c r="O819" s="370"/>
      <c r="P819" s="176"/>
      <c r="Q819" s="201" t="s">
        <v>1116</v>
      </c>
      <c r="R819" s="496"/>
      <c r="S819" s="19"/>
      <c r="T819" s="18"/>
      <c r="U819" s="19"/>
      <c r="V819" s="19"/>
    </row>
    <row r="820" spans="1:22" ht="33" outlineLevel="1" x14ac:dyDescent="0.25">
      <c r="A820" s="1028"/>
      <c r="B820" s="1026"/>
      <c r="C820" s="253" t="s">
        <v>34</v>
      </c>
      <c r="D820" s="163">
        <v>3519839.42</v>
      </c>
      <c r="E820" s="253" t="s">
        <v>658</v>
      </c>
      <c r="F820" s="253" t="s">
        <v>591</v>
      </c>
      <c r="G820" s="354">
        <v>3607049.96</v>
      </c>
      <c r="H820" s="210">
        <v>42551</v>
      </c>
      <c r="I820" s="210">
        <v>42543</v>
      </c>
      <c r="J820" s="163">
        <v>3519839.42</v>
      </c>
      <c r="K820" s="163">
        <v>3519839.4200000004</v>
      </c>
      <c r="L820" s="626"/>
      <c r="M820" s="628"/>
      <c r="N820" s="213">
        <v>1</v>
      </c>
      <c r="O820" s="398"/>
      <c r="P820" s="176"/>
      <c r="Q820" s="177"/>
      <c r="R820" s="496"/>
    </row>
    <row r="821" spans="1:22" ht="33" outlineLevel="1" x14ac:dyDescent="0.25">
      <c r="A821" s="1028"/>
      <c r="B821" s="1026"/>
      <c r="C821" s="253" t="s">
        <v>35</v>
      </c>
      <c r="D821" s="163">
        <v>310866.2</v>
      </c>
      <c r="E821" s="253" t="s">
        <v>658</v>
      </c>
      <c r="F821" s="253" t="s">
        <v>591</v>
      </c>
      <c r="G821" s="354">
        <v>367924</v>
      </c>
      <c r="H821" s="210">
        <v>42429</v>
      </c>
      <c r="I821" s="210">
        <v>42415</v>
      </c>
      <c r="J821" s="163">
        <v>310866.2</v>
      </c>
      <c r="K821" s="163">
        <v>310866.2</v>
      </c>
      <c r="L821" s="210"/>
      <c r="M821" s="163">
        <f t="shared" ref="M821:M824" si="77">J821-D821</f>
        <v>0</v>
      </c>
      <c r="N821" s="213">
        <v>1</v>
      </c>
      <c r="O821" s="531"/>
      <c r="P821" s="176"/>
      <c r="Q821" s="177"/>
      <c r="R821" s="496"/>
    </row>
    <row r="822" spans="1:22" ht="33" outlineLevel="1" x14ac:dyDescent="0.25">
      <c r="A822" s="1028"/>
      <c r="B822" s="1026"/>
      <c r="C822" s="253" t="s">
        <v>36</v>
      </c>
      <c r="D822" s="163">
        <v>259469.51</v>
      </c>
      <c r="E822" s="253" t="s">
        <v>658</v>
      </c>
      <c r="F822" s="253" t="s">
        <v>591</v>
      </c>
      <c r="G822" s="354">
        <v>296185.90000000002</v>
      </c>
      <c r="H822" s="210">
        <v>42429</v>
      </c>
      <c r="I822" s="210">
        <v>42415</v>
      </c>
      <c r="J822" s="163">
        <v>259469.51</v>
      </c>
      <c r="K822" s="163">
        <v>259469.51</v>
      </c>
      <c r="L822" s="210"/>
      <c r="M822" s="163">
        <f t="shared" si="77"/>
        <v>0</v>
      </c>
      <c r="N822" s="213">
        <v>1</v>
      </c>
      <c r="O822" s="531"/>
      <c r="P822" s="176"/>
      <c r="Q822" s="177"/>
      <c r="R822" s="496"/>
    </row>
    <row r="823" spans="1:22" ht="33" outlineLevel="1" x14ac:dyDescent="0.25">
      <c r="A823" s="1028"/>
      <c r="B823" s="1026"/>
      <c r="C823" s="253" t="s">
        <v>500</v>
      </c>
      <c r="D823" s="163">
        <v>3835534.22</v>
      </c>
      <c r="E823" s="253" t="s">
        <v>594</v>
      </c>
      <c r="F823" s="253" t="s">
        <v>589</v>
      </c>
      <c r="G823" s="354">
        <v>4416508.425929415</v>
      </c>
      <c r="H823" s="210">
        <v>42459</v>
      </c>
      <c r="I823" s="210">
        <v>42459</v>
      </c>
      <c r="J823" s="163">
        <v>3835534.22</v>
      </c>
      <c r="K823" s="163">
        <v>3835534.22</v>
      </c>
      <c r="L823" s="210"/>
      <c r="M823" s="163">
        <f t="shared" si="77"/>
        <v>0</v>
      </c>
      <c r="N823" s="213">
        <v>1</v>
      </c>
      <c r="O823" s="531"/>
      <c r="P823" s="176"/>
      <c r="Q823" s="177"/>
      <c r="R823" s="496"/>
    </row>
    <row r="824" spans="1:22" ht="33" outlineLevel="1" x14ac:dyDescent="0.25">
      <c r="A824" s="1028"/>
      <c r="B824" s="1026"/>
      <c r="C824" s="253" t="s">
        <v>501</v>
      </c>
      <c r="D824" s="163">
        <v>4994668.71</v>
      </c>
      <c r="E824" s="253" t="s">
        <v>594</v>
      </c>
      <c r="F824" s="253" t="s">
        <v>589</v>
      </c>
      <c r="G824" s="354">
        <v>5527269.8646437721</v>
      </c>
      <c r="H824" s="210">
        <v>42551</v>
      </c>
      <c r="I824" s="210">
        <v>42535</v>
      </c>
      <c r="J824" s="163">
        <v>4994668.71</v>
      </c>
      <c r="K824" s="163">
        <v>4994668.71</v>
      </c>
      <c r="L824" s="210"/>
      <c r="M824" s="163">
        <f t="shared" si="77"/>
        <v>0</v>
      </c>
      <c r="N824" s="213">
        <v>1</v>
      </c>
      <c r="O824" s="531"/>
      <c r="P824" s="176"/>
      <c r="Q824" s="177"/>
      <c r="R824" s="496"/>
      <c r="T824" s="19"/>
    </row>
    <row r="825" spans="1:22" ht="33" outlineLevel="1" x14ac:dyDescent="0.25">
      <c r="A825" s="1028"/>
      <c r="B825" s="1026"/>
      <c r="C825" s="253" t="s">
        <v>515</v>
      </c>
      <c r="D825" s="163">
        <v>720099.72</v>
      </c>
      <c r="E825" s="273" t="s">
        <v>760</v>
      </c>
      <c r="F825" s="253" t="s">
        <v>761</v>
      </c>
      <c r="G825" s="354">
        <v>765830.62</v>
      </c>
      <c r="H825" s="210">
        <v>42583</v>
      </c>
      <c r="I825" s="619">
        <v>42551</v>
      </c>
      <c r="J825" s="163">
        <v>720099.72</v>
      </c>
      <c r="K825" s="163">
        <v>720099.72</v>
      </c>
      <c r="L825" s="210"/>
      <c r="M825" s="163"/>
      <c r="N825" s="213">
        <v>1</v>
      </c>
      <c r="O825" s="301"/>
      <c r="P825" s="176"/>
      <c r="Q825" s="497"/>
      <c r="R825" s="496"/>
    </row>
    <row r="826" spans="1:22" s="75" customFormat="1" ht="33" outlineLevel="1" x14ac:dyDescent="0.25">
      <c r="A826" s="1028"/>
      <c r="B826" s="1026"/>
      <c r="C826" s="253" t="s">
        <v>1076</v>
      </c>
      <c r="D826" s="163">
        <v>48909.15</v>
      </c>
      <c r="E826" s="273" t="s">
        <v>1077</v>
      </c>
      <c r="F826" s="253" t="s">
        <v>1078</v>
      </c>
      <c r="G826" s="163">
        <v>48909.15</v>
      </c>
      <c r="H826" s="210"/>
      <c r="I826" s="621">
        <v>42604</v>
      </c>
      <c r="J826" s="163">
        <v>48909.15</v>
      </c>
      <c r="K826" s="163">
        <v>48909.15</v>
      </c>
      <c r="L826" s="210"/>
      <c r="M826" s="163"/>
      <c r="N826" s="213"/>
      <c r="O826" s="531"/>
      <c r="P826" s="457"/>
      <c r="Q826" s="622"/>
      <c r="R826" s="626"/>
      <c r="S826" s="67"/>
      <c r="T826" s="67"/>
      <c r="U826" s="67"/>
      <c r="V826" s="67"/>
    </row>
    <row r="827" spans="1:22" ht="49.5" outlineLevel="1" x14ac:dyDescent="0.25">
      <c r="A827" s="1028"/>
      <c r="B827" s="1026"/>
      <c r="C827" s="294" t="s">
        <v>37</v>
      </c>
      <c r="D827" s="180">
        <f>78963.68*1.18</f>
        <v>93177.142399999982</v>
      </c>
      <c r="E827" s="181" t="s">
        <v>559</v>
      </c>
      <c r="F827" s="181" t="s">
        <v>535</v>
      </c>
      <c r="G827" s="182">
        <f>78963.68*1.18</f>
        <v>93177.142399999982</v>
      </c>
      <c r="H827" s="183">
        <v>42458</v>
      </c>
      <c r="I827" s="183">
        <v>42408</v>
      </c>
      <c r="J827" s="184">
        <v>93177.14</v>
      </c>
      <c r="K827" s="184">
        <v>93177.14</v>
      </c>
      <c r="L827" s="183"/>
      <c r="M827" s="184">
        <f>J827-D827</f>
        <v>-2.3999999830266461E-3</v>
      </c>
      <c r="N827" s="202"/>
      <c r="O827" s="283"/>
      <c r="P827" s="176"/>
      <c r="Q827" s="177"/>
      <c r="R827" s="132"/>
    </row>
    <row r="828" spans="1:22" ht="17.25" outlineLevel="1" thickBot="1" x14ac:dyDescent="0.3">
      <c r="A828" s="1006" t="s">
        <v>628</v>
      </c>
      <c r="B828" s="1007"/>
      <c r="C828" s="364"/>
      <c r="D828" s="365">
        <f>SUM(D819:D827)</f>
        <v>14343827.182399999</v>
      </c>
      <c r="E828" s="239"/>
      <c r="F828" s="239"/>
      <c r="G828" s="366">
        <f>SUM(G819:G827)</f>
        <v>15723077.926528662</v>
      </c>
      <c r="H828" s="239"/>
      <c r="I828" s="494"/>
      <c r="J828" s="365">
        <f>SUM(J819:J827)</f>
        <v>14343827.18</v>
      </c>
      <c r="K828" s="365">
        <f>SUM(K819:K827)</f>
        <v>14343827.180000003</v>
      </c>
      <c r="L828" s="367"/>
      <c r="M828" s="365"/>
      <c r="N828" s="368">
        <f>AVERAGE(N819:N827)</f>
        <v>1</v>
      </c>
      <c r="O828" s="369"/>
      <c r="P828" s="176"/>
      <c r="Q828" s="497"/>
      <c r="R828" s="496"/>
    </row>
    <row r="829" spans="1:22" s="5" customFormat="1" ht="33" x14ac:dyDescent="0.25">
      <c r="A829" s="1027">
        <v>27</v>
      </c>
      <c r="B829" s="1025" t="s">
        <v>195</v>
      </c>
      <c r="C829" s="197" t="s">
        <v>38</v>
      </c>
      <c r="D829" s="162">
        <v>620407.68000000005</v>
      </c>
      <c r="E829" s="197" t="s">
        <v>590</v>
      </c>
      <c r="F829" s="197" t="s">
        <v>589</v>
      </c>
      <c r="G829" s="353">
        <v>862729.45054004726</v>
      </c>
      <c r="H829" s="161">
        <v>42551</v>
      </c>
      <c r="I829" s="161">
        <v>42495</v>
      </c>
      <c r="J829" s="162">
        <v>620407.68000000005</v>
      </c>
      <c r="K829" s="162">
        <v>620407.68000000005</v>
      </c>
      <c r="L829" s="161"/>
      <c r="M829" s="162"/>
      <c r="N829" s="200">
        <v>1</v>
      </c>
      <c r="O829" s="370"/>
      <c r="P829" s="176"/>
      <c r="Q829" s="177"/>
      <c r="R829" s="496"/>
      <c r="S829" s="19"/>
      <c r="T829" s="18"/>
      <c r="U829" s="19"/>
      <c r="V829" s="19"/>
    </row>
    <row r="830" spans="1:22" ht="33" outlineLevel="1" x14ac:dyDescent="0.25">
      <c r="A830" s="1028"/>
      <c r="B830" s="1026"/>
      <c r="C830" s="253" t="s">
        <v>34</v>
      </c>
      <c r="D830" s="163">
        <v>3581823.61</v>
      </c>
      <c r="E830" s="253" t="s">
        <v>658</v>
      </c>
      <c r="F830" s="253" t="s">
        <v>591</v>
      </c>
      <c r="G830" s="354">
        <v>3807948.5</v>
      </c>
      <c r="H830" s="210">
        <v>42551</v>
      </c>
      <c r="I830" s="210">
        <v>42551</v>
      </c>
      <c r="J830" s="163">
        <v>3581823.6099999994</v>
      </c>
      <c r="K830" s="163">
        <v>3581823.61</v>
      </c>
      <c r="L830" s="210"/>
      <c r="M830" s="163"/>
      <c r="N830" s="213">
        <v>1</v>
      </c>
      <c r="O830" s="301"/>
      <c r="P830" s="176"/>
      <c r="Q830" s="177"/>
      <c r="R830" s="496"/>
    </row>
    <row r="831" spans="1:22" ht="33" outlineLevel="1" x14ac:dyDescent="0.25">
      <c r="A831" s="1028"/>
      <c r="B831" s="1026"/>
      <c r="C831" s="253" t="s">
        <v>35</v>
      </c>
      <c r="D831" s="163">
        <v>465079.14</v>
      </c>
      <c r="E831" s="253" t="s">
        <v>658</v>
      </c>
      <c r="F831" s="253" t="s">
        <v>591</v>
      </c>
      <c r="G831" s="354">
        <v>539678.9</v>
      </c>
      <c r="H831" s="210">
        <v>42429</v>
      </c>
      <c r="I831" s="210">
        <v>42415</v>
      </c>
      <c r="J831" s="163">
        <v>465079.14</v>
      </c>
      <c r="K831" s="163">
        <v>465079.14</v>
      </c>
      <c r="L831" s="210"/>
      <c r="M831" s="163">
        <f t="shared" ref="M831:M832" si="78">J831-D831</f>
        <v>0</v>
      </c>
      <c r="N831" s="213">
        <v>1</v>
      </c>
      <c r="O831" s="531"/>
      <c r="P831" s="176"/>
      <c r="Q831" s="177"/>
      <c r="R831" s="496"/>
    </row>
    <row r="832" spans="1:22" ht="33" outlineLevel="1" x14ac:dyDescent="0.25">
      <c r="A832" s="1028"/>
      <c r="B832" s="1026"/>
      <c r="C832" s="253" t="s">
        <v>36</v>
      </c>
      <c r="D832" s="163">
        <v>291129.39</v>
      </c>
      <c r="E832" s="253" t="s">
        <v>658</v>
      </c>
      <c r="F832" s="253" t="s">
        <v>591</v>
      </c>
      <c r="G832" s="354">
        <v>330949.88</v>
      </c>
      <c r="H832" s="210">
        <v>42429</v>
      </c>
      <c r="I832" s="210">
        <v>42415</v>
      </c>
      <c r="J832" s="163">
        <v>291129.39</v>
      </c>
      <c r="K832" s="163">
        <v>291129.39</v>
      </c>
      <c r="L832" s="210"/>
      <c r="M832" s="163">
        <f t="shared" si="78"/>
        <v>0</v>
      </c>
      <c r="N832" s="213">
        <v>1</v>
      </c>
      <c r="O832" s="531"/>
      <c r="P832" s="176"/>
      <c r="Q832" s="177"/>
      <c r="R832" s="496"/>
    </row>
    <row r="833" spans="1:22" ht="33" outlineLevel="1" x14ac:dyDescent="0.25">
      <c r="A833" s="1028"/>
      <c r="B833" s="1026"/>
      <c r="C833" s="253" t="s">
        <v>515</v>
      </c>
      <c r="D833" s="163">
        <v>773679.98</v>
      </c>
      <c r="E833" s="273" t="s">
        <v>760</v>
      </c>
      <c r="F833" s="253" t="s">
        <v>761</v>
      </c>
      <c r="G833" s="354">
        <v>793986.6</v>
      </c>
      <c r="H833" s="210">
        <v>42583</v>
      </c>
      <c r="I833" s="619">
        <v>42551</v>
      </c>
      <c r="J833" s="163">
        <v>773679.98</v>
      </c>
      <c r="K833" s="163">
        <v>773679.98</v>
      </c>
      <c r="L833" s="210"/>
      <c r="M833" s="163"/>
      <c r="N833" s="213">
        <v>1</v>
      </c>
      <c r="O833" s="301"/>
      <c r="P833" s="176"/>
      <c r="Q833" s="497"/>
      <c r="R833" s="496"/>
    </row>
    <row r="834" spans="1:22" s="75" customFormat="1" ht="33" outlineLevel="1" x14ac:dyDescent="0.25">
      <c r="A834" s="1028"/>
      <c r="B834" s="1026"/>
      <c r="C834" s="253" t="s">
        <v>1076</v>
      </c>
      <c r="D834" s="163">
        <v>51633.2</v>
      </c>
      <c r="E834" s="273" t="s">
        <v>1077</v>
      </c>
      <c r="F834" s="253" t="s">
        <v>1078</v>
      </c>
      <c r="G834" s="163">
        <v>51633.2</v>
      </c>
      <c r="H834" s="210"/>
      <c r="I834" s="621">
        <v>42604</v>
      </c>
      <c r="J834" s="163">
        <v>51633.2</v>
      </c>
      <c r="K834" s="163">
        <v>51633.2</v>
      </c>
      <c r="L834" s="210"/>
      <c r="M834" s="163"/>
      <c r="N834" s="213"/>
      <c r="O834" s="531"/>
      <c r="P834" s="457"/>
      <c r="Q834" s="622"/>
      <c r="R834" s="626"/>
      <c r="S834" s="67"/>
      <c r="T834" s="67"/>
      <c r="U834" s="67"/>
      <c r="V834" s="67"/>
    </row>
    <row r="835" spans="1:22" ht="49.5" outlineLevel="1" x14ac:dyDescent="0.25">
      <c r="A835" s="1028"/>
      <c r="B835" s="1026"/>
      <c r="C835" s="294" t="s">
        <v>37</v>
      </c>
      <c r="D835" s="180">
        <f>82413.31*1.18</f>
        <v>97247.705799999996</v>
      </c>
      <c r="E835" s="181" t="s">
        <v>559</v>
      </c>
      <c r="F835" s="181" t="s">
        <v>535</v>
      </c>
      <c r="G835" s="182">
        <f>82413.31*1.18</f>
        <v>97247.705799999996</v>
      </c>
      <c r="H835" s="183">
        <v>42458</v>
      </c>
      <c r="I835" s="183">
        <v>42408</v>
      </c>
      <c r="J835" s="184">
        <v>97247.71</v>
      </c>
      <c r="K835" s="184">
        <v>97247.71</v>
      </c>
      <c r="L835" s="183"/>
      <c r="M835" s="184">
        <f>J835-D835</f>
        <v>4.2000000103143975E-3</v>
      </c>
      <c r="N835" s="202"/>
      <c r="O835" s="283"/>
      <c r="P835" s="176"/>
      <c r="Q835" s="177"/>
      <c r="R835" s="132"/>
    </row>
    <row r="836" spans="1:22" ht="17.25" outlineLevel="1" thickBot="1" x14ac:dyDescent="0.3">
      <c r="A836" s="1006" t="s">
        <v>628</v>
      </c>
      <c r="B836" s="1007"/>
      <c r="C836" s="364"/>
      <c r="D836" s="365">
        <f>SUM(D829:D835)</f>
        <v>5881000.7057999987</v>
      </c>
      <c r="E836" s="239"/>
      <c r="F836" s="239"/>
      <c r="G836" s="366">
        <f>SUM(G829:G835)</f>
        <v>6484174.2363400469</v>
      </c>
      <c r="H836" s="239"/>
      <c r="I836" s="494"/>
      <c r="J836" s="365">
        <f>SUM(J829:J835)</f>
        <v>5881000.709999999</v>
      </c>
      <c r="K836" s="365">
        <f>SUM(K829:K835)</f>
        <v>5881000.709999999</v>
      </c>
      <c r="L836" s="367"/>
      <c r="M836" s="365"/>
      <c r="N836" s="368">
        <f>AVERAGE(N829:N835)</f>
        <v>1</v>
      </c>
      <c r="O836" s="369"/>
      <c r="P836" s="176"/>
      <c r="Q836" s="497"/>
      <c r="R836" s="496"/>
    </row>
    <row r="837" spans="1:22" s="5" customFormat="1" ht="33" x14ac:dyDescent="0.25">
      <c r="A837" s="1027">
        <v>28</v>
      </c>
      <c r="B837" s="1025" t="s">
        <v>196</v>
      </c>
      <c r="C837" s="197" t="s">
        <v>38</v>
      </c>
      <c r="D837" s="162">
        <v>670757.13</v>
      </c>
      <c r="E837" s="197" t="s">
        <v>587</v>
      </c>
      <c r="F837" s="197" t="s">
        <v>588</v>
      </c>
      <c r="G837" s="353">
        <v>786796.55688490393</v>
      </c>
      <c r="H837" s="161">
        <v>42551</v>
      </c>
      <c r="I837" s="161">
        <v>42495</v>
      </c>
      <c r="J837" s="162">
        <v>670757.13000000012</v>
      </c>
      <c r="K837" s="162">
        <v>670757.13000000012</v>
      </c>
      <c r="L837" s="161"/>
      <c r="M837" s="162"/>
      <c r="N837" s="200">
        <v>1</v>
      </c>
      <c r="O837" s="370"/>
      <c r="P837" s="176"/>
      <c r="Q837" s="177"/>
      <c r="R837" s="496"/>
      <c r="S837" s="19"/>
      <c r="T837" s="18"/>
      <c r="U837" s="19"/>
      <c r="V837" s="19"/>
    </row>
    <row r="838" spans="1:22" ht="33" outlineLevel="1" x14ac:dyDescent="0.25">
      <c r="A838" s="1028"/>
      <c r="B838" s="1026"/>
      <c r="C838" s="253" t="s">
        <v>34</v>
      </c>
      <c r="D838" s="163">
        <v>5108020.12</v>
      </c>
      <c r="E838" s="253" t="s">
        <v>659</v>
      </c>
      <c r="F838" s="253" t="s">
        <v>591</v>
      </c>
      <c r="G838" s="354">
        <v>5097596.46</v>
      </c>
      <c r="H838" s="210">
        <v>42582</v>
      </c>
      <c r="I838" s="634">
        <v>42561</v>
      </c>
      <c r="J838" s="163">
        <v>5108020.12</v>
      </c>
      <c r="K838" s="163">
        <v>5108020.12</v>
      </c>
      <c r="L838" s="210"/>
      <c r="M838" s="163"/>
      <c r="N838" s="213">
        <v>1</v>
      </c>
      <c r="O838" s="301"/>
      <c r="P838" s="176"/>
      <c r="Q838" s="177"/>
      <c r="R838" s="496"/>
    </row>
    <row r="839" spans="1:22" ht="33" outlineLevel="1" x14ac:dyDescent="0.25">
      <c r="A839" s="1028"/>
      <c r="B839" s="1026"/>
      <c r="C839" s="253" t="s">
        <v>35</v>
      </c>
      <c r="D839" s="163">
        <v>368914.41</v>
      </c>
      <c r="E839" s="253" t="s">
        <v>659</v>
      </c>
      <c r="F839" s="253" t="s">
        <v>591</v>
      </c>
      <c r="G839" s="354">
        <v>425316.84</v>
      </c>
      <c r="H839" s="210">
        <v>42460</v>
      </c>
      <c r="I839" s="210">
        <v>42429</v>
      </c>
      <c r="J839" s="163">
        <v>368914.41</v>
      </c>
      <c r="K839" s="163">
        <v>368914.41</v>
      </c>
      <c r="L839" s="210"/>
      <c r="M839" s="163">
        <f t="shared" ref="M839:M840" si="79">J839-D839</f>
        <v>0</v>
      </c>
      <c r="N839" s="213">
        <v>1</v>
      </c>
      <c r="O839" s="531"/>
      <c r="P839" s="176"/>
      <c r="Q839" s="177"/>
      <c r="R839" s="496"/>
    </row>
    <row r="840" spans="1:22" ht="33" outlineLevel="1" x14ac:dyDescent="0.25">
      <c r="A840" s="1028"/>
      <c r="B840" s="1026"/>
      <c r="C840" s="253" t="s">
        <v>36</v>
      </c>
      <c r="D840" s="163">
        <v>353951.34</v>
      </c>
      <c r="E840" s="253" t="s">
        <v>659</v>
      </c>
      <c r="F840" s="253" t="s">
        <v>591</v>
      </c>
      <c r="G840" s="354">
        <v>403475.04</v>
      </c>
      <c r="H840" s="210">
        <v>42475</v>
      </c>
      <c r="I840" s="210">
        <v>42429</v>
      </c>
      <c r="J840" s="163">
        <v>353951.34</v>
      </c>
      <c r="K840" s="163">
        <v>353951.34</v>
      </c>
      <c r="L840" s="210"/>
      <c r="M840" s="163">
        <f t="shared" si="79"/>
        <v>0</v>
      </c>
      <c r="N840" s="213">
        <v>1</v>
      </c>
      <c r="O840" s="531"/>
      <c r="P840" s="176"/>
      <c r="Q840" s="177"/>
      <c r="R840" s="496"/>
    </row>
    <row r="841" spans="1:22" ht="33" outlineLevel="1" x14ac:dyDescent="0.25">
      <c r="A841" s="1028"/>
      <c r="B841" s="1026"/>
      <c r="C841" s="253" t="s">
        <v>515</v>
      </c>
      <c r="D841" s="163">
        <v>1164724.8999999999</v>
      </c>
      <c r="E841" s="273" t="s">
        <v>760</v>
      </c>
      <c r="F841" s="253" t="s">
        <v>761</v>
      </c>
      <c r="G841" s="354">
        <v>1259559.1399999999</v>
      </c>
      <c r="H841" s="210">
        <v>42583</v>
      </c>
      <c r="I841" s="619">
        <v>42551</v>
      </c>
      <c r="J841" s="163">
        <v>1164724.8999999999</v>
      </c>
      <c r="K841" s="163">
        <v>1164724.8999999999</v>
      </c>
      <c r="L841" s="210"/>
      <c r="M841" s="163"/>
      <c r="N841" s="213">
        <v>1</v>
      </c>
      <c r="O841" s="301"/>
      <c r="P841" s="176"/>
      <c r="Q841" s="177"/>
      <c r="R841" s="132"/>
    </row>
    <row r="842" spans="1:22" s="75" customFormat="1" ht="33" outlineLevel="1" x14ac:dyDescent="0.25">
      <c r="A842" s="1028"/>
      <c r="B842" s="1026"/>
      <c r="C842" s="253" t="s">
        <v>1076</v>
      </c>
      <c r="D842" s="163">
        <v>69119.95</v>
      </c>
      <c r="E842" s="273" t="s">
        <v>1077</v>
      </c>
      <c r="F842" s="253" t="s">
        <v>1078</v>
      </c>
      <c r="G842" s="163">
        <v>69119.95</v>
      </c>
      <c r="H842" s="210"/>
      <c r="I842" s="621">
        <v>42604</v>
      </c>
      <c r="J842" s="163">
        <v>69119.95</v>
      </c>
      <c r="K842" s="163">
        <v>69119.95</v>
      </c>
      <c r="L842" s="210"/>
      <c r="M842" s="163"/>
      <c r="N842" s="213">
        <v>1</v>
      </c>
      <c r="O842" s="531"/>
      <c r="P842" s="457"/>
      <c r="Q842" s="547"/>
      <c r="R842" s="383"/>
      <c r="S842" s="67"/>
      <c r="T842" s="67"/>
      <c r="U842" s="67"/>
      <c r="V842" s="67"/>
    </row>
    <row r="843" spans="1:22" ht="49.5" outlineLevel="1" x14ac:dyDescent="0.25">
      <c r="A843" s="1028"/>
      <c r="B843" s="1026"/>
      <c r="C843" s="294" t="s">
        <v>37</v>
      </c>
      <c r="D843" s="180">
        <f>87313.04*1.18</f>
        <v>103029.38719999998</v>
      </c>
      <c r="E843" s="181" t="s">
        <v>559</v>
      </c>
      <c r="F843" s="181" t="s">
        <v>535</v>
      </c>
      <c r="G843" s="182">
        <f>87313.04*1.18</f>
        <v>103029.38719999998</v>
      </c>
      <c r="H843" s="183">
        <v>42458</v>
      </c>
      <c r="I843" s="183">
        <v>42408</v>
      </c>
      <c r="J843" s="184">
        <v>103029.39000000001</v>
      </c>
      <c r="K843" s="184">
        <v>103029.39000000001</v>
      </c>
      <c r="L843" s="183"/>
      <c r="M843" s="184">
        <f>J843-D843</f>
        <v>2.8000000311294571E-3</v>
      </c>
      <c r="N843" s="202"/>
      <c r="O843" s="283"/>
      <c r="P843" s="176"/>
      <c r="Q843" s="497"/>
      <c r="R843" s="496"/>
    </row>
    <row r="844" spans="1:22" ht="17.25" outlineLevel="1" thickBot="1" x14ac:dyDescent="0.3">
      <c r="A844" s="1006" t="s">
        <v>628</v>
      </c>
      <c r="B844" s="1007"/>
      <c r="C844" s="364"/>
      <c r="D844" s="365">
        <f>SUM(D837:D843)</f>
        <v>7838517.2372000003</v>
      </c>
      <c r="E844" s="239"/>
      <c r="F844" s="239"/>
      <c r="G844" s="366">
        <f>SUM(G837:G843)</f>
        <v>8144893.3740849039</v>
      </c>
      <c r="H844" s="239"/>
      <c r="I844" s="494"/>
      <c r="J844" s="365">
        <f>SUM(J837:J843)</f>
        <v>7838517.2400000002</v>
      </c>
      <c r="K844" s="365">
        <f>SUM(K837:K843)</f>
        <v>7838517.2400000002</v>
      </c>
      <c r="L844" s="367"/>
      <c r="M844" s="365"/>
      <c r="N844" s="368">
        <f>AVERAGE(N837:N843)</f>
        <v>1</v>
      </c>
      <c r="O844" s="369"/>
      <c r="P844" s="176"/>
      <c r="Q844" s="497"/>
      <c r="R844" s="496"/>
    </row>
    <row r="845" spans="1:22" s="5" customFormat="1" ht="33" x14ac:dyDescent="0.25">
      <c r="A845" s="1027">
        <v>29</v>
      </c>
      <c r="B845" s="1025" t="s">
        <v>197</v>
      </c>
      <c r="C845" s="197" t="s">
        <v>38</v>
      </c>
      <c r="D845" s="162">
        <v>670457.14</v>
      </c>
      <c r="E845" s="197" t="s">
        <v>590</v>
      </c>
      <c r="F845" s="197" t="s">
        <v>589</v>
      </c>
      <c r="G845" s="353">
        <v>777920.22811847832</v>
      </c>
      <c r="H845" s="161">
        <v>42551</v>
      </c>
      <c r="I845" s="161">
        <v>42466</v>
      </c>
      <c r="J845" s="162">
        <v>649720.53</v>
      </c>
      <c r="K845" s="162">
        <v>649720.53</v>
      </c>
      <c r="L845" s="161"/>
      <c r="M845" s="163">
        <f t="shared" ref="M845" si="80">J845-D845</f>
        <v>-20736.609999999986</v>
      </c>
      <c r="N845" s="200">
        <v>1</v>
      </c>
      <c r="O845" s="456"/>
      <c r="P845" s="176"/>
      <c r="Q845" s="177"/>
      <c r="R845" s="496"/>
      <c r="S845" s="19"/>
      <c r="T845" s="18"/>
      <c r="U845" s="19"/>
      <c r="V845" s="19"/>
    </row>
    <row r="846" spans="1:22" ht="33" outlineLevel="1" x14ac:dyDescent="0.25">
      <c r="A846" s="1028"/>
      <c r="B846" s="1026"/>
      <c r="C846" s="253" t="s">
        <v>34</v>
      </c>
      <c r="D846" s="163">
        <v>4757165.8099999996</v>
      </c>
      <c r="E846" s="253" t="s">
        <v>659</v>
      </c>
      <c r="F846" s="253" t="s">
        <v>591</v>
      </c>
      <c r="G846" s="354">
        <v>4738290</v>
      </c>
      <c r="H846" s="210">
        <v>42582</v>
      </c>
      <c r="I846" s="634">
        <v>42561</v>
      </c>
      <c r="J846" s="163">
        <v>4757165.8099999996</v>
      </c>
      <c r="K846" s="163">
        <v>4757165.8099999996</v>
      </c>
      <c r="L846" s="210"/>
      <c r="M846" s="163"/>
      <c r="N846" s="213">
        <v>1</v>
      </c>
      <c r="O846" s="300"/>
      <c r="P846" s="176"/>
      <c r="Q846" s="177"/>
      <c r="R846" s="496"/>
    </row>
    <row r="847" spans="1:22" ht="33" outlineLevel="1" x14ac:dyDescent="0.25">
      <c r="A847" s="1028"/>
      <c r="B847" s="1026"/>
      <c r="C847" s="253" t="s">
        <v>35</v>
      </c>
      <c r="D847" s="163">
        <v>367896.72</v>
      </c>
      <c r="E847" s="253" t="s">
        <v>659</v>
      </c>
      <c r="F847" s="253" t="s">
        <v>591</v>
      </c>
      <c r="G847" s="354">
        <v>425316.84</v>
      </c>
      <c r="H847" s="210">
        <v>42460</v>
      </c>
      <c r="I847" s="210">
        <v>42429</v>
      </c>
      <c r="J847" s="163">
        <v>367896.72</v>
      </c>
      <c r="K847" s="163">
        <v>367896.72</v>
      </c>
      <c r="L847" s="210"/>
      <c r="M847" s="163">
        <f t="shared" ref="M847:M848" si="81">J847-D847</f>
        <v>0</v>
      </c>
      <c r="N847" s="213">
        <v>1</v>
      </c>
      <c r="O847" s="491"/>
      <c r="P847" s="176"/>
      <c r="Q847" s="177"/>
      <c r="R847" s="496"/>
    </row>
    <row r="848" spans="1:22" ht="33" outlineLevel="1" x14ac:dyDescent="0.25">
      <c r="A848" s="1028"/>
      <c r="B848" s="1026"/>
      <c r="C848" s="253" t="s">
        <v>36</v>
      </c>
      <c r="D848" s="163">
        <v>356198.09</v>
      </c>
      <c r="E848" s="253" t="s">
        <v>659</v>
      </c>
      <c r="F848" s="253" t="s">
        <v>591</v>
      </c>
      <c r="G848" s="354">
        <v>406055.7</v>
      </c>
      <c r="H848" s="210">
        <v>42475</v>
      </c>
      <c r="I848" s="210">
        <v>42429</v>
      </c>
      <c r="J848" s="163">
        <v>356198.09</v>
      </c>
      <c r="K848" s="163">
        <v>356198.09</v>
      </c>
      <c r="L848" s="210"/>
      <c r="M848" s="163">
        <f t="shared" si="81"/>
        <v>0</v>
      </c>
      <c r="N848" s="213">
        <v>1</v>
      </c>
      <c r="O848" s="491"/>
      <c r="P848" s="176"/>
      <c r="Q848" s="177"/>
      <c r="R848" s="496"/>
    </row>
    <row r="849" spans="1:22" ht="33" outlineLevel="1" x14ac:dyDescent="0.25">
      <c r="A849" s="1028"/>
      <c r="B849" s="1026"/>
      <c r="C849" s="253" t="s">
        <v>515</v>
      </c>
      <c r="D849" s="163">
        <v>1121855.5</v>
      </c>
      <c r="E849" s="273" t="s">
        <v>760</v>
      </c>
      <c r="F849" s="253" t="s">
        <v>761</v>
      </c>
      <c r="G849" s="354">
        <v>1207099.8799999999</v>
      </c>
      <c r="H849" s="210">
        <v>42583</v>
      </c>
      <c r="I849" s="619">
        <v>42559</v>
      </c>
      <c r="J849" s="163">
        <v>1121855.5</v>
      </c>
      <c r="K849" s="163">
        <v>1121855.5</v>
      </c>
      <c r="L849" s="210"/>
      <c r="M849" s="163"/>
      <c r="N849" s="213">
        <v>1</v>
      </c>
      <c r="O849" s="301"/>
      <c r="P849" s="176"/>
      <c r="Q849" s="177"/>
      <c r="R849" s="132"/>
    </row>
    <row r="850" spans="1:22" s="75" customFormat="1" ht="33" outlineLevel="1" x14ac:dyDescent="0.25">
      <c r="A850" s="1028"/>
      <c r="B850" s="1026"/>
      <c r="C850" s="253" t="s">
        <v>1076</v>
      </c>
      <c r="D850" s="163">
        <v>64248</v>
      </c>
      <c r="E850" s="273" t="s">
        <v>1077</v>
      </c>
      <c r="F850" s="253" t="s">
        <v>1078</v>
      </c>
      <c r="G850" s="163">
        <v>64248</v>
      </c>
      <c r="H850" s="210"/>
      <c r="I850" s="621">
        <v>42604</v>
      </c>
      <c r="J850" s="163">
        <v>64248</v>
      </c>
      <c r="K850" s="163">
        <v>64248</v>
      </c>
      <c r="L850" s="210"/>
      <c r="M850" s="163"/>
      <c r="N850" s="213">
        <v>1</v>
      </c>
      <c r="O850" s="531"/>
      <c r="P850" s="457"/>
      <c r="Q850" s="547"/>
      <c r="R850" s="383"/>
      <c r="S850" s="67"/>
      <c r="T850" s="67"/>
      <c r="U850" s="67"/>
      <c r="V850" s="67"/>
    </row>
    <row r="851" spans="1:22" ht="49.5" outlineLevel="1" x14ac:dyDescent="0.25">
      <c r="A851" s="1028"/>
      <c r="B851" s="1026"/>
      <c r="C851" s="294" t="s">
        <v>37</v>
      </c>
      <c r="D851" s="180">
        <f>87313.04*1.18</f>
        <v>103029.38719999998</v>
      </c>
      <c r="E851" s="181" t="s">
        <v>559</v>
      </c>
      <c r="F851" s="181" t="s">
        <v>535</v>
      </c>
      <c r="G851" s="182">
        <f>87313.04*1.18</f>
        <v>103029.38719999998</v>
      </c>
      <c r="H851" s="183">
        <v>42458</v>
      </c>
      <c r="I851" s="183">
        <v>42408</v>
      </c>
      <c r="J851" s="184">
        <v>103029.39000000001</v>
      </c>
      <c r="K851" s="184">
        <v>103029.39000000001</v>
      </c>
      <c r="L851" s="183"/>
      <c r="M851" s="184">
        <f>J851-D851</f>
        <v>2.8000000311294571E-3</v>
      </c>
      <c r="N851" s="202"/>
      <c r="O851" s="283"/>
      <c r="P851" s="176"/>
      <c r="Q851" s="497"/>
      <c r="R851" s="496"/>
    </row>
    <row r="852" spans="1:22" ht="17.25" outlineLevel="1" thickBot="1" x14ac:dyDescent="0.3">
      <c r="A852" s="1006" t="s">
        <v>628</v>
      </c>
      <c r="B852" s="1007"/>
      <c r="C852" s="364"/>
      <c r="D852" s="365">
        <f>SUM(D845:D851)</f>
        <v>7440850.6471999986</v>
      </c>
      <c r="E852" s="239"/>
      <c r="F852" s="239"/>
      <c r="G852" s="366">
        <f>SUM(G845:G851)</f>
        <v>7721960.035318478</v>
      </c>
      <c r="H852" s="239"/>
      <c r="I852" s="494"/>
      <c r="J852" s="365">
        <f>SUM(J845:J851)</f>
        <v>7420114.0399999991</v>
      </c>
      <c r="K852" s="365">
        <f>SUM(K845:K851)</f>
        <v>7420114.0399999991</v>
      </c>
      <c r="L852" s="367"/>
      <c r="M852" s="365"/>
      <c r="N852" s="368">
        <f>AVERAGE(N845:N851)</f>
        <v>1</v>
      </c>
      <c r="O852" s="369"/>
      <c r="P852" s="176"/>
      <c r="Q852" s="497"/>
      <c r="R852" s="496"/>
    </row>
    <row r="853" spans="1:22" s="5" customFormat="1" ht="33" x14ac:dyDescent="0.25">
      <c r="A853" s="1027">
        <v>30</v>
      </c>
      <c r="B853" s="1025" t="s">
        <v>198</v>
      </c>
      <c r="C853" s="197" t="s">
        <v>38</v>
      </c>
      <c r="D853" s="162">
        <v>678804.1</v>
      </c>
      <c r="E853" s="197" t="s">
        <v>590</v>
      </c>
      <c r="F853" s="197" t="s">
        <v>589</v>
      </c>
      <c r="G853" s="353">
        <v>786717.64048000076</v>
      </c>
      <c r="H853" s="161">
        <v>42551</v>
      </c>
      <c r="I853" s="161">
        <v>42466</v>
      </c>
      <c r="J853" s="162">
        <v>658067.49</v>
      </c>
      <c r="K853" s="162">
        <v>658067.49</v>
      </c>
      <c r="L853" s="635"/>
      <c r="M853" s="163">
        <f t="shared" ref="M853" si="82">J853-D853</f>
        <v>-20736.609999999986</v>
      </c>
      <c r="N853" s="200">
        <v>1</v>
      </c>
      <c r="O853" s="636"/>
      <c r="P853" s="176"/>
      <c r="Q853" s="177"/>
      <c r="R853" s="496"/>
      <c r="S853" s="19"/>
      <c r="T853" s="18"/>
      <c r="U853" s="19"/>
      <c r="V853" s="19"/>
    </row>
    <row r="854" spans="1:22" ht="33" outlineLevel="1" x14ac:dyDescent="0.25">
      <c r="A854" s="1028"/>
      <c r="B854" s="1026"/>
      <c r="C854" s="253" t="s">
        <v>34</v>
      </c>
      <c r="D854" s="163">
        <v>4983332.93</v>
      </c>
      <c r="E854" s="253" t="s">
        <v>659</v>
      </c>
      <c r="F854" s="253" t="s">
        <v>591</v>
      </c>
      <c r="G854" s="354">
        <v>4991998.26</v>
      </c>
      <c r="H854" s="210">
        <v>42582</v>
      </c>
      <c r="I854" s="634">
        <v>42561</v>
      </c>
      <c r="J854" s="163">
        <v>4983332.9300000006</v>
      </c>
      <c r="K854" s="163">
        <v>4983332.9300000006</v>
      </c>
      <c r="L854" s="626"/>
      <c r="M854" s="628"/>
      <c r="N854" s="213">
        <v>1</v>
      </c>
      <c r="O854" s="398"/>
      <c r="P854" s="176"/>
      <c r="Q854" s="177"/>
      <c r="R854" s="496"/>
    </row>
    <row r="855" spans="1:22" ht="33" outlineLevel="1" x14ac:dyDescent="0.25">
      <c r="A855" s="1028"/>
      <c r="B855" s="1026"/>
      <c r="C855" s="253" t="s">
        <v>35</v>
      </c>
      <c r="D855" s="163">
        <v>367896.72</v>
      </c>
      <c r="E855" s="253" t="s">
        <v>659</v>
      </c>
      <c r="F855" s="253" t="s">
        <v>591</v>
      </c>
      <c r="G855" s="354">
        <v>425316.84</v>
      </c>
      <c r="H855" s="210">
        <v>42460</v>
      </c>
      <c r="I855" s="210">
        <v>42429</v>
      </c>
      <c r="J855" s="163">
        <v>367896.72</v>
      </c>
      <c r="K855" s="163">
        <v>367896.72</v>
      </c>
      <c r="L855" s="637"/>
      <c r="M855" s="163">
        <f t="shared" ref="M855:M856" si="83">J855-D855</f>
        <v>0</v>
      </c>
      <c r="N855" s="213">
        <v>1</v>
      </c>
      <c r="O855" s="638"/>
      <c r="P855" s="176"/>
      <c r="Q855" s="177"/>
      <c r="R855" s="496"/>
    </row>
    <row r="856" spans="1:22" ht="33" outlineLevel="1" x14ac:dyDescent="0.25">
      <c r="A856" s="1028"/>
      <c r="B856" s="1026"/>
      <c r="C856" s="253" t="s">
        <v>36</v>
      </c>
      <c r="D856" s="163">
        <v>356198.09</v>
      </c>
      <c r="E856" s="253" t="s">
        <v>659</v>
      </c>
      <c r="F856" s="253" t="s">
        <v>591</v>
      </c>
      <c r="G856" s="354">
        <v>406055.7</v>
      </c>
      <c r="H856" s="210">
        <v>42475</v>
      </c>
      <c r="I856" s="210">
        <v>42429</v>
      </c>
      <c r="J856" s="163">
        <v>356198.09</v>
      </c>
      <c r="K856" s="163">
        <v>356198.09</v>
      </c>
      <c r="L856" s="637"/>
      <c r="M856" s="163">
        <f t="shared" si="83"/>
        <v>0</v>
      </c>
      <c r="N856" s="213">
        <v>1</v>
      </c>
      <c r="O856" s="638"/>
      <c r="P856" s="176"/>
      <c r="Q856" s="177"/>
      <c r="R856" s="496"/>
    </row>
    <row r="857" spans="1:22" ht="33" outlineLevel="1" x14ac:dyDescent="0.25">
      <c r="A857" s="1028"/>
      <c r="B857" s="1026"/>
      <c r="C857" s="253" t="s">
        <v>500</v>
      </c>
      <c r="D857" s="163">
        <v>2343373.7999999998</v>
      </c>
      <c r="E857" s="253" t="s">
        <v>1058</v>
      </c>
      <c r="F857" s="253" t="s">
        <v>768</v>
      </c>
      <c r="G857" s="354">
        <v>2855729.8</v>
      </c>
      <c r="H857" s="210">
        <v>42653</v>
      </c>
      <c r="I857" s="210">
        <v>42656</v>
      </c>
      <c r="J857" s="163">
        <v>2343373.7999999998</v>
      </c>
      <c r="K857" s="163">
        <v>2343373.7999999998</v>
      </c>
      <c r="L857" s="210"/>
      <c r="M857" s="163"/>
      <c r="N857" s="213">
        <v>1</v>
      </c>
      <c r="O857" s="301"/>
      <c r="P857" s="176"/>
      <c r="Q857" s="201" t="s">
        <v>1116</v>
      </c>
      <c r="R857" s="496"/>
    </row>
    <row r="858" spans="1:22" ht="33" outlineLevel="1" x14ac:dyDescent="0.25">
      <c r="A858" s="1028"/>
      <c r="B858" s="1026"/>
      <c r="C858" s="253" t="s">
        <v>515</v>
      </c>
      <c r="D858" s="163">
        <v>1187068.2</v>
      </c>
      <c r="E858" s="273" t="s">
        <v>760</v>
      </c>
      <c r="F858" s="253" t="s">
        <v>761</v>
      </c>
      <c r="G858" s="354">
        <v>1259559.1399999999</v>
      </c>
      <c r="H858" s="210">
        <v>42583</v>
      </c>
      <c r="I858" s="619">
        <v>42552</v>
      </c>
      <c r="J858" s="163">
        <v>1187068.2</v>
      </c>
      <c r="K858" s="163">
        <v>1187068.2</v>
      </c>
      <c r="L858" s="210"/>
      <c r="M858" s="163"/>
      <c r="N858" s="213">
        <v>1</v>
      </c>
      <c r="O858" s="301"/>
      <c r="P858" s="176"/>
      <c r="Q858" s="497"/>
      <c r="R858" s="496"/>
    </row>
    <row r="859" spans="1:22" s="75" customFormat="1" ht="33" outlineLevel="1" x14ac:dyDescent="0.25">
      <c r="A859" s="1028"/>
      <c r="B859" s="1026"/>
      <c r="C859" s="253" t="s">
        <v>1076</v>
      </c>
      <c r="D859" s="163">
        <v>67688.11</v>
      </c>
      <c r="E859" s="273" t="s">
        <v>1077</v>
      </c>
      <c r="F859" s="253" t="s">
        <v>1078</v>
      </c>
      <c r="G859" s="163">
        <v>67688.11</v>
      </c>
      <c r="H859" s="210"/>
      <c r="I859" s="621">
        <v>42604</v>
      </c>
      <c r="J859" s="163">
        <v>67688.11</v>
      </c>
      <c r="K859" s="163">
        <v>67688.11</v>
      </c>
      <c r="L859" s="210"/>
      <c r="M859" s="163"/>
      <c r="N859" s="213">
        <v>1</v>
      </c>
      <c r="O859" s="531"/>
      <c r="P859" s="457"/>
      <c r="Q859" s="622"/>
      <c r="R859" s="626"/>
      <c r="S859" s="67"/>
      <c r="T859" s="67"/>
      <c r="U859" s="67"/>
      <c r="V859" s="67"/>
    </row>
    <row r="860" spans="1:22" ht="49.5" outlineLevel="1" x14ac:dyDescent="0.25">
      <c r="A860" s="1028"/>
      <c r="B860" s="1026"/>
      <c r="C860" s="294" t="s">
        <v>37</v>
      </c>
      <c r="D860" s="180">
        <f>90082.14*1.18</f>
        <v>106296.9252</v>
      </c>
      <c r="E860" s="181" t="s">
        <v>559</v>
      </c>
      <c r="F860" s="181" t="s">
        <v>535</v>
      </c>
      <c r="G860" s="182">
        <f>90082.14*1.18</f>
        <v>106296.9252</v>
      </c>
      <c r="H860" s="183">
        <v>42458</v>
      </c>
      <c r="I860" s="183">
        <v>42408</v>
      </c>
      <c r="J860" s="184">
        <v>106296.93</v>
      </c>
      <c r="K860" s="184">
        <v>106296.93</v>
      </c>
      <c r="L860" s="183"/>
      <c r="M860" s="184">
        <f>J860-D860</f>
        <v>4.7999999951571226E-3</v>
      </c>
      <c r="N860" s="202"/>
      <c r="O860" s="283"/>
      <c r="P860" s="176"/>
      <c r="Q860" s="177"/>
      <c r="R860" s="132"/>
    </row>
    <row r="861" spans="1:22" ht="17.25" outlineLevel="1" thickBot="1" x14ac:dyDescent="0.3">
      <c r="A861" s="1006" t="s">
        <v>628</v>
      </c>
      <c r="B861" s="1007"/>
      <c r="C861" s="364"/>
      <c r="D861" s="365">
        <f>SUM(D853:D860)</f>
        <v>10090658.875199998</v>
      </c>
      <c r="E861" s="239"/>
      <c r="F861" s="239"/>
      <c r="G861" s="366">
        <f>SUM(G853:G860)</f>
        <v>10899362.415680001</v>
      </c>
      <c r="H861" s="309"/>
      <c r="I861" s="321"/>
      <c r="J861" s="365">
        <f>SUM(J853:J860)</f>
        <v>10069922.27</v>
      </c>
      <c r="K861" s="365">
        <f>SUM(K853:K860)</f>
        <v>10069922.27</v>
      </c>
      <c r="L861" s="367"/>
      <c r="M861" s="365"/>
      <c r="N861" s="368">
        <f>AVERAGE(N853:N860)</f>
        <v>1</v>
      </c>
      <c r="O861" s="369"/>
      <c r="P861" s="176"/>
      <c r="Q861" s="497"/>
      <c r="R861" s="496"/>
    </row>
    <row r="862" spans="1:22" s="5" customFormat="1" ht="33" x14ac:dyDescent="0.25">
      <c r="A862" s="1027">
        <v>31</v>
      </c>
      <c r="B862" s="1025" t="s">
        <v>199</v>
      </c>
      <c r="C862" s="197" t="s">
        <v>38</v>
      </c>
      <c r="D862" s="162">
        <v>554316.67000000004</v>
      </c>
      <c r="E862" s="197" t="s">
        <v>590</v>
      </c>
      <c r="F862" s="197" t="s">
        <v>589</v>
      </c>
      <c r="G862" s="353">
        <v>676364.23786237673</v>
      </c>
      <c r="H862" s="161">
        <v>42551</v>
      </c>
      <c r="I862" s="161">
        <v>42466</v>
      </c>
      <c r="J862" s="162">
        <v>533580.05999999994</v>
      </c>
      <c r="K862" s="162">
        <v>533580.05999999994</v>
      </c>
      <c r="L862" s="161"/>
      <c r="M862" s="163">
        <f t="shared" ref="M862" si="84">J862-D862</f>
        <v>-20736.610000000102</v>
      </c>
      <c r="N862" s="200">
        <v>1</v>
      </c>
      <c r="O862" s="456"/>
      <c r="P862" s="176"/>
      <c r="Q862" s="177"/>
      <c r="R862" s="496"/>
      <c r="S862" s="19"/>
      <c r="T862" s="18"/>
      <c r="U862" s="19"/>
      <c r="V862" s="19"/>
    </row>
    <row r="863" spans="1:22" ht="33" outlineLevel="1" x14ac:dyDescent="0.25">
      <c r="A863" s="1028"/>
      <c r="B863" s="1026"/>
      <c r="C863" s="253" t="s">
        <v>34</v>
      </c>
      <c r="D863" s="163">
        <v>3392175.19</v>
      </c>
      <c r="E863" s="253" t="s">
        <v>659</v>
      </c>
      <c r="F863" s="253" t="s">
        <v>591</v>
      </c>
      <c r="G863" s="354">
        <v>3408414.66</v>
      </c>
      <c r="H863" s="210">
        <v>42582</v>
      </c>
      <c r="I863" s="634">
        <v>42561</v>
      </c>
      <c r="J863" s="163">
        <v>3392175.19</v>
      </c>
      <c r="K863" s="163">
        <v>3392175.19</v>
      </c>
      <c r="L863" s="210"/>
      <c r="M863" s="163"/>
      <c r="N863" s="213">
        <v>1</v>
      </c>
      <c r="O863" s="300"/>
      <c r="P863" s="176"/>
      <c r="Q863" s="177"/>
      <c r="R863" s="496"/>
    </row>
    <row r="864" spans="1:22" ht="33" outlineLevel="1" x14ac:dyDescent="0.25">
      <c r="A864" s="1028"/>
      <c r="B864" s="1026"/>
      <c r="C864" s="253" t="s">
        <v>35</v>
      </c>
      <c r="D864" s="163">
        <v>312577.08</v>
      </c>
      <c r="E864" s="253" t="s">
        <v>659</v>
      </c>
      <c r="F864" s="253" t="s">
        <v>591</v>
      </c>
      <c r="G864" s="354">
        <v>359711.2</v>
      </c>
      <c r="H864" s="210">
        <v>42460</v>
      </c>
      <c r="I864" s="210">
        <v>42429</v>
      </c>
      <c r="J864" s="163">
        <v>312577.08</v>
      </c>
      <c r="K864" s="163">
        <v>312577.08</v>
      </c>
      <c r="L864" s="210"/>
      <c r="M864" s="163">
        <f t="shared" ref="M864:M865" si="85">J864-D864</f>
        <v>0</v>
      </c>
      <c r="N864" s="213">
        <v>1</v>
      </c>
      <c r="O864" s="491"/>
      <c r="P864" s="176"/>
      <c r="Q864" s="177"/>
      <c r="R864" s="496"/>
    </row>
    <row r="865" spans="1:22" ht="33" outlineLevel="1" x14ac:dyDescent="0.25">
      <c r="A865" s="1028"/>
      <c r="B865" s="1026"/>
      <c r="C865" s="253" t="s">
        <v>36</v>
      </c>
      <c r="D865" s="163">
        <v>273224.58</v>
      </c>
      <c r="E865" s="253" t="s">
        <v>659</v>
      </c>
      <c r="F865" s="253" t="s">
        <v>591</v>
      </c>
      <c r="G865" s="354">
        <v>309453.82</v>
      </c>
      <c r="H865" s="210">
        <v>42475</v>
      </c>
      <c r="I865" s="210">
        <v>42429</v>
      </c>
      <c r="J865" s="163">
        <v>273224.58</v>
      </c>
      <c r="K865" s="163">
        <v>273224.58</v>
      </c>
      <c r="L865" s="210"/>
      <c r="M865" s="163">
        <f t="shared" si="85"/>
        <v>0</v>
      </c>
      <c r="N865" s="213">
        <v>1</v>
      </c>
      <c r="O865" s="491"/>
      <c r="P865" s="176"/>
      <c r="Q865" s="177"/>
      <c r="R865" s="496"/>
    </row>
    <row r="866" spans="1:22" ht="49.5" outlineLevel="1" x14ac:dyDescent="0.25">
      <c r="A866" s="1028"/>
      <c r="B866" s="1026"/>
      <c r="C866" s="253" t="s">
        <v>500</v>
      </c>
      <c r="D866" s="163">
        <v>3371284.78</v>
      </c>
      <c r="E866" s="253" t="s">
        <v>627</v>
      </c>
      <c r="F866" s="253" t="s">
        <v>592</v>
      </c>
      <c r="G866" s="354">
        <v>3371284.78</v>
      </c>
      <c r="H866" s="210">
        <v>42459</v>
      </c>
      <c r="I866" s="210">
        <v>42454</v>
      </c>
      <c r="J866" s="163">
        <v>3088403.28</v>
      </c>
      <c r="K866" s="163">
        <v>3088403.28</v>
      </c>
      <c r="L866" s="210">
        <v>42720</v>
      </c>
      <c r="M866" s="163"/>
      <c r="N866" s="213">
        <v>1</v>
      </c>
      <c r="O866" s="300"/>
      <c r="P866" s="176"/>
      <c r="Q866" s="280" t="s">
        <v>1118</v>
      </c>
      <c r="R866" s="496"/>
    </row>
    <row r="867" spans="1:22" ht="33" outlineLevel="1" x14ac:dyDescent="0.25">
      <c r="A867" s="1028"/>
      <c r="B867" s="1026"/>
      <c r="C867" s="253" t="s">
        <v>515</v>
      </c>
      <c r="D867" s="163">
        <v>807712.36</v>
      </c>
      <c r="E867" s="273" t="s">
        <v>760</v>
      </c>
      <c r="F867" s="253" t="s">
        <v>761</v>
      </c>
      <c r="G867" s="354">
        <v>864126.98</v>
      </c>
      <c r="H867" s="210">
        <v>42583</v>
      </c>
      <c r="I867" s="619">
        <v>42551</v>
      </c>
      <c r="J867" s="163">
        <v>807712.36</v>
      </c>
      <c r="K867" s="163">
        <v>807712.36</v>
      </c>
      <c r="L867" s="210"/>
      <c r="M867" s="163"/>
      <c r="N867" s="213">
        <v>1</v>
      </c>
      <c r="O867" s="301"/>
      <c r="P867" s="176"/>
      <c r="Q867" s="497"/>
      <c r="R867" s="496"/>
    </row>
    <row r="868" spans="1:22" s="75" customFormat="1" ht="33" outlineLevel="1" x14ac:dyDescent="0.25">
      <c r="A868" s="1028"/>
      <c r="B868" s="1026"/>
      <c r="C868" s="253" t="s">
        <v>1076</v>
      </c>
      <c r="D868" s="163">
        <v>46215.79</v>
      </c>
      <c r="E868" s="273" t="s">
        <v>1077</v>
      </c>
      <c r="F868" s="253" t="s">
        <v>1078</v>
      </c>
      <c r="G868" s="163">
        <v>46215.79</v>
      </c>
      <c r="H868" s="210"/>
      <c r="I868" s="621">
        <v>42604</v>
      </c>
      <c r="J868" s="163">
        <v>46215.79</v>
      </c>
      <c r="K868" s="163">
        <v>46215.79</v>
      </c>
      <c r="L868" s="210"/>
      <c r="M868" s="163"/>
      <c r="N868" s="213"/>
      <c r="O868" s="531"/>
      <c r="P868" s="457"/>
      <c r="Q868" s="622"/>
      <c r="R868" s="626"/>
      <c r="S868" s="67"/>
      <c r="T868" s="67"/>
      <c r="U868" s="67"/>
      <c r="V868" s="67"/>
    </row>
    <row r="869" spans="1:22" ht="49.5" outlineLevel="1" x14ac:dyDescent="0.25">
      <c r="A869" s="1028"/>
      <c r="B869" s="1026"/>
      <c r="C869" s="294" t="s">
        <v>37</v>
      </c>
      <c r="D869" s="180">
        <f>83123.31*1.18</f>
        <v>98085.505799999999</v>
      </c>
      <c r="E869" s="181" t="s">
        <v>559</v>
      </c>
      <c r="F869" s="181" t="s">
        <v>535</v>
      </c>
      <c r="G869" s="182">
        <f>83123.31*1.18</f>
        <v>98085.505799999999</v>
      </c>
      <c r="H869" s="183">
        <v>42458</v>
      </c>
      <c r="I869" s="183">
        <v>42408</v>
      </c>
      <c r="J869" s="184">
        <v>98085.51</v>
      </c>
      <c r="K869" s="184">
        <v>98085.51</v>
      </c>
      <c r="L869" s="183"/>
      <c r="M869" s="184">
        <f>J869-D869</f>
        <v>4.1999999957624823E-3</v>
      </c>
      <c r="N869" s="202"/>
      <c r="O869" s="283"/>
      <c r="P869" s="176"/>
      <c r="Q869" s="177"/>
      <c r="R869" s="132"/>
    </row>
    <row r="870" spans="1:22" ht="17.25" outlineLevel="1" thickBot="1" x14ac:dyDescent="0.3">
      <c r="A870" s="1006" t="s">
        <v>628</v>
      </c>
      <c r="B870" s="1007"/>
      <c r="C870" s="364"/>
      <c r="D870" s="365">
        <f>SUM(D862:D869)</f>
        <v>8855591.9557999969</v>
      </c>
      <c r="E870" s="239"/>
      <c r="F870" s="239"/>
      <c r="G870" s="366">
        <f>SUM(G862:G869)</f>
        <v>9133656.9736623764</v>
      </c>
      <c r="H870" s="239"/>
      <c r="I870" s="321"/>
      <c r="J870" s="365">
        <f>SUM(J862:J869)</f>
        <v>8551973.8499999978</v>
      </c>
      <c r="K870" s="365">
        <f>SUM(K862:K869)</f>
        <v>8551973.8499999978</v>
      </c>
      <c r="L870" s="367"/>
      <c r="M870" s="365"/>
      <c r="N870" s="368">
        <f>AVERAGE(N862:N869)</f>
        <v>1</v>
      </c>
      <c r="O870" s="369"/>
      <c r="P870" s="176"/>
      <c r="Q870" s="497"/>
      <c r="R870" s="496"/>
    </row>
    <row r="871" spans="1:22" s="5" customFormat="1" ht="33" x14ac:dyDescent="0.25">
      <c r="A871" s="1027">
        <v>32</v>
      </c>
      <c r="B871" s="1025" t="s">
        <v>200</v>
      </c>
      <c r="C871" s="197" t="s">
        <v>38</v>
      </c>
      <c r="D871" s="162">
        <v>554316.67000000004</v>
      </c>
      <c r="E871" s="197" t="s">
        <v>590</v>
      </c>
      <c r="F871" s="197" t="s">
        <v>589</v>
      </c>
      <c r="G871" s="353">
        <v>676364.22786237672</v>
      </c>
      <c r="H871" s="161">
        <v>42551</v>
      </c>
      <c r="I871" s="161">
        <v>42466</v>
      </c>
      <c r="J871" s="162">
        <v>533580.05999999994</v>
      </c>
      <c r="K871" s="162">
        <v>533580.05999999994</v>
      </c>
      <c r="L871" s="161"/>
      <c r="M871" s="163">
        <f t="shared" ref="M871" si="86">J871-D871</f>
        <v>-20736.610000000102</v>
      </c>
      <c r="N871" s="200">
        <v>1</v>
      </c>
      <c r="O871" s="382"/>
      <c r="P871" s="176"/>
      <c r="Q871" s="177"/>
      <c r="R871" s="496"/>
      <c r="S871" s="19"/>
      <c r="T871" s="18"/>
      <c r="U871" s="19"/>
      <c r="V871" s="19"/>
    </row>
    <row r="872" spans="1:22" ht="33" outlineLevel="1" x14ac:dyDescent="0.25">
      <c r="A872" s="1028"/>
      <c r="B872" s="1026"/>
      <c r="C872" s="253" t="s">
        <v>34</v>
      </c>
      <c r="D872" s="163">
        <v>3366007.74</v>
      </c>
      <c r="E872" s="253" t="s">
        <v>659</v>
      </c>
      <c r="F872" s="253" t="s">
        <v>591</v>
      </c>
      <c r="G872" s="354">
        <v>3380455.74</v>
      </c>
      <c r="H872" s="210">
        <v>42582</v>
      </c>
      <c r="I872" s="634">
        <v>42561</v>
      </c>
      <c r="J872" s="163">
        <v>3366007.7399999998</v>
      </c>
      <c r="K872" s="163">
        <v>3366007.7399999998</v>
      </c>
      <c r="L872" s="210"/>
      <c r="M872" s="163"/>
      <c r="N872" s="213">
        <v>1</v>
      </c>
      <c r="O872" s="301"/>
      <c r="P872" s="176"/>
      <c r="Q872" s="177"/>
      <c r="R872" s="496"/>
    </row>
    <row r="873" spans="1:22" ht="33" outlineLevel="1" x14ac:dyDescent="0.25">
      <c r="A873" s="1028"/>
      <c r="B873" s="1026"/>
      <c r="C873" s="253" t="s">
        <v>35</v>
      </c>
      <c r="D873" s="163">
        <v>312671.35999999999</v>
      </c>
      <c r="E873" s="253" t="s">
        <v>659</v>
      </c>
      <c r="F873" s="253" t="s">
        <v>591</v>
      </c>
      <c r="G873" s="354">
        <v>360211.52</v>
      </c>
      <c r="H873" s="210">
        <v>42460</v>
      </c>
      <c r="I873" s="210">
        <v>42429</v>
      </c>
      <c r="J873" s="163">
        <v>312671.35999999999</v>
      </c>
      <c r="K873" s="163">
        <v>312671.35999999999</v>
      </c>
      <c r="L873" s="210"/>
      <c r="M873" s="163">
        <f t="shared" ref="M873:M874" si="87">J873-D873</f>
        <v>0</v>
      </c>
      <c r="N873" s="213">
        <v>1</v>
      </c>
      <c r="O873" s="531"/>
      <c r="P873" s="176"/>
      <c r="Q873" s="177"/>
      <c r="R873" s="496"/>
    </row>
    <row r="874" spans="1:22" ht="33" outlineLevel="1" x14ac:dyDescent="0.25">
      <c r="A874" s="1028"/>
      <c r="B874" s="1026"/>
      <c r="C874" s="253" t="s">
        <v>36</v>
      </c>
      <c r="D874" s="163">
        <v>271131.81</v>
      </c>
      <c r="E874" s="253" t="s">
        <v>659</v>
      </c>
      <c r="F874" s="253" t="s">
        <v>591</v>
      </c>
      <c r="G874" s="354">
        <v>306874.34000000003</v>
      </c>
      <c r="H874" s="210">
        <v>42475</v>
      </c>
      <c r="I874" s="210">
        <v>42429</v>
      </c>
      <c r="J874" s="163">
        <v>271131.81</v>
      </c>
      <c r="K874" s="163">
        <v>271131.81</v>
      </c>
      <c r="L874" s="210"/>
      <c r="M874" s="163">
        <f t="shared" si="87"/>
        <v>0</v>
      </c>
      <c r="N874" s="213">
        <v>1</v>
      </c>
      <c r="O874" s="531"/>
      <c r="P874" s="176"/>
      <c r="Q874" s="177"/>
      <c r="R874" s="496"/>
    </row>
    <row r="875" spans="1:22" ht="33" outlineLevel="1" x14ac:dyDescent="0.25">
      <c r="A875" s="1028"/>
      <c r="B875" s="1026"/>
      <c r="C875" s="253" t="s">
        <v>515</v>
      </c>
      <c r="D875" s="163">
        <v>806917.04</v>
      </c>
      <c r="E875" s="273" t="s">
        <v>760</v>
      </c>
      <c r="F875" s="253" t="s">
        <v>761</v>
      </c>
      <c r="G875" s="354">
        <v>857684.18</v>
      </c>
      <c r="H875" s="210">
        <v>42583</v>
      </c>
      <c r="I875" s="619">
        <v>42559</v>
      </c>
      <c r="J875" s="163">
        <v>806917.03999999992</v>
      </c>
      <c r="K875" s="163">
        <v>806917.03999999992</v>
      </c>
      <c r="L875" s="210"/>
      <c r="M875" s="163"/>
      <c r="N875" s="213">
        <v>1</v>
      </c>
      <c r="O875" s="301"/>
      <c r="P875" s="176"/>
      <c r="Q875" s="497"/>
      <c r="R875" s="496"/>
    </row>
    <row r="876" spans="1:22" s="75" customFormat="1" ht="33" outlineLevel="1" x14ac:dyDescent="0.25">
      <c r="A876" s="1028"/>
      <c r="B876" s="1026"/>
      <c r="C876" s="253" t="s">
        <v>1076</v>
      </c>
      <c r="D876" s="163">
        <v>45836.69</v>
      </c>
      <c r="E876" s="273" t="s">
        <v>1077</v>
      </c>
      <c r="F876" s="253" t="s">
        <v>1078</v>
      </c>
      <c r="G876" s="163">
        <v>45836.69</v>
      </c>
      <c r="H876" s="210"/>
      <c r="I876" s="621">
        <v>42604</v>
      </c>
      <c r="J876" s="163">
        <v>45836.69</v>
      </c>
      <c r="K876" s="163">
        <v>45836.69</v>
      </c>
      <c r="L876" s="210"/>
      <c r="M876" s="163"/>
      <c r="N876" s="213">
        <v>1</v>
      </c>
      <c r="O876" s="531"/>
      <c r="P876" s="457"/>
      <c r="Q876" s="622"/>
      <c r="R876" s="626"/>
      <c r="S876" s="67"/>
      <c r="T876" s="67"/>
      <c r="U876" s="67"/>
      <c r="V876" s="67"/>
    </row>
    <row r="877" spans="1:22" ht="49.5" outlineLevel="1" x14ac:dyDescent="0.25">
      <c r="A877" s="1028"/>
      <c r="B877" s="1026"/>
      <c r="C877" s="294" t="s">
        <v>37</v>
      </c>
      <c r="D877" s="180">
        <f>83123.31*1.18</f>
        <v>98085.505799999999</v>
      </c>
      <c r="E877" s="181" t="s">
        <v>559</v>
      </c>
      <c r="F877" s="181" t="s">
        <v>535</v>
      </c>
      <c r="G877" s="182">
        <f>83123.31*1.18</f>
        <v>98085.505799999999</v>
      </c>
      <c r="H877" s="183">
        <v>42458</v>
      </c>
      <c r="I877" s="183">
        <v>42408</v>
      </c>
      <c r="J877" s="184">
        <v>98085.51</v>
      </c>
      <c r="K877" s="184">
        <v>98085.51</v>
      </c>
      <c r="L877" s="183"/>
      <c r="M877" s="184">
        <f>J877-D877</f>
        <v>4.1999999957624823E-3</v>
      </c>
      <c r="N877" s="202"/>
      <c r="O877" s="283"/>
      <c r="P877" s="176"/>
      <c r="Q877" s="177"/>
      <c r="R877" s="132"/>
    </row>
    <row r="878" spans="1:22" ht="17.25" outlineLevel="1" thickBot="1" x14ac:dyDescent="0.3">
      <c r="A878" s="1010" t="s">
        <v>628</v>
      </c>
      <c r="B878" s="1011"/>
      <c r="C878" s="377"/>
      <c r="D878" s="378">
        <f>SUM(D871:D877)</f>
        <v>5454966.8158000009</v>
      </c>
      <c r="E878" s="247"/>
      <c r="F878" s="247"/>
      <c r="G878" s="379">
        <f>SUM(G871:G877)</f>
        <v>5725512.2036623769</v>
      </c>
      <c r="H878" s="247"/>
      <c r="I878" s="277"/>
      <c r="J878" s="378">
        <f>SUM(J871:J877)</f>
        <v>5434230.21</v>
      </c>
      <c r="K878" s="378">
        <f>SUM(K871:K877)</f>
        <v>5434230.21</v>
      </c>
      <c r="L878" s="380"/>
      <c r="M878" s="378"/>
      <c r="N878" s="395">
        <f>AVERAGE(N871:N877)</f>
        <v>1</v>
      </c>
      <c r="O878" s="381"/>
      <c r="P878" s="176"/>
      <c r="Q878" s="497"/>
      <c r="R878" s="496"/>
    </row>
    <row r="879" spans="1:22" s="5" customFormat="1" ht="33" x14ac:dyDescent="0.25">
      <c r="A879" s="1027">
        <v>33</v>
      </c>
      <c r="B879" s="1025" t="s">
        <v>201</v>
      </c>
      <c r="C879" s="197" t="s">
        <v>38</v>
      </c>
      <c r="D879" s="162">
        <v>668014.68999999994</v>
      </c>
      <c r="E879" s="197" t="s">
        <v>590</v>
      </c>
      <c r="F879" s="197" t="s">
        <v>589</v>
      </c>
      <c r="G879" s="353">
        <v>786796.55688490393</v>
      </c>
      <c r="H879" s="161">
        <v>42551</v>
      </c>
      <c r="I879" s="161">
        <v>42466</v>
      </c>
      <c r="J879" s="162">
        <v>647278.07999999996</v>
      </c>
      <c r="K879" s="162">
        <v>647278.07999999996</v>
      </c>
      <c r="L879" s="161"/>
      <c r="M879" s="162">
        <f t="shared" ref="M879" si="88">J879-D879</f>
        <v>-20736.609999999986</v>
      </c>
      <c r="N879" s="200">
        <v>1</v>
      </c>
      <c r="O879" s="456"/>
      <c r="P879" s="176"/>
      <c r="Q879" s="177"/>
      <c r="R879" s="496"/>
      <c r="S879" s="19"/>
      <c r="T879" s="18"/>
      <c r="U879" s="19"/>
      <c r="V879" s="19"/>
    </row>
    <row r="880" spans="1:22" ht="33" outlineLevel="1" x14ac:dyDescent="0.25">
      <c r="A880" s="1028"/>
      <c r="B880" s="1026"/>
      <c r="C880" s="253" t="s">
        <v>34</v>
      </c>
      <c r="D880" s="163">
        <v>4776700.34</v>
      </c>
      <c r="E880" s="253" t="s">
        <v>659</v>
      </c>
      <c r="F880" s="253" t="s">
        <v>591</v>
      </c>
      <c r="G880" s="354">
        <v>4758984.84</v>
      </c>
      <c r="H880" s="210">
        <v>42582</v>
      </c>
      <c r="I880" s="634">
        <v>42561</v>
      </c>
      <c r="J880" s="163">
        <v>4776700.34</v>
      </c>
      <c r="K880" s="163">
        <v>4776700.34</v>
      </c>
      <c r="L880" s="210"/>
      <c r="M880" s="163"/>
      <c r="N880" s="213">
        <v>1</v>
      </c>
      <c r="O880" s="300"/>
      <c r="P880" s="176"/>
      <c r="Q880" s="177"/>
      <c r="R880" s="496"/>
    </row>
    <row r="881" spans="1:22" ht="33" outlineLevel="1" x14ac:dyDescent="0.25">
      <c r="A881" s="1028"/>
      <c r="B881" s="1026"/>
      <c r="C881" s="253" t="s">
        <v>35</v>
      </c>
      <c r="D881" s="163">
        <v>367896.72</v>
      </c>
      <c r="E881" s="253" t="s">
        <v>659</v>
      </c>
      <c r="F881" s="253" t="s">
        <v>591</v>
      </c>
      <c r="G881" s="354">
        <v>425316.84</v>
      </c>
      <c r="H881" s="210">
        <v>42460</v>
      </c>
      <c r="I881" s="210">
        <v>42429</v>
      </c>
      <c r="J881" s="163">
        <v>367896.72</v>
      </c>
      <c r="K881" s="163">
        <v>367896.72</v>
      </c>
      <c r="L881" s="210"/>
      <c r="M881" s="163">
        <f t="shared" ref="M881:M882" si="89">J881-D881</f>
        <v>0</v>
      </c>
      <c r="N881" s="213">
        <v>1</v>
      </c>
      <c r="O881" s="491"/>
      <c r="P881" s="176"/>
      <c r="Q881" s="177"/>
      <c r="R881" s="496"/>
    </row>
    <row r="882" spans="1:22" ht="33" outlineLevel="1" x14ac:dyDescent="0.25">
      <c r="A882" s="1028"/>
      <c r="B882" s="1026"/>
      <c r="C882" s="253" t="s">
        <v>36</v>
      </c>
      <c r="D882" s="163">
        <v>347074.26</v>
      </c>
      <c r="E882" s="253" t="s">
        <v>659</v>
      </c>
      <c r="F882" s="253" t="s">
        <v>591</v>
      </c>
      <c r="G882" s="354">
        <v>395971.42</v>
      </c>
      <c r="H882" s="210">
        <v>42475</v>
      </c>
      <c r="I882" s="210">
        <v>42429</v>
      </c>
      <c r="J882" s="163">
        <v>347074.26</v>
      </c>
      <c r="K882" s="163">
        <v>347074.26</v>
      </c>
      <c r="L882" s="210"/>
      <c r="M882" s="163">
        <f t="shared" si="89"/>
        <v>0</v>
      </c>
      <c r="N882" s="213">
        <v>1</v>
      </c>
      <c r="O882" s="491"/>
      <c r="P882" s="176"/>
      <c r="Q882" s="177"/>
      <c r="R882" s="496"/>
    </row>
    <row r="883" spans="1:22" ht="49.5" outlineLevel="1" x14ac:dyDescent="0.25">
      <c r="A883" s="1028"/>
      <c r="B883" s="1026"/>
      <c r="C883" s="253" t="s">
        <v>500</v>
      </c>
      <c r="D883" s="163">
        <v>3680110.84</v>
      </c>
      <c r="E883" s="253" t="s">
        <v>627</v>
      </c>
      <c r="F883" s="253" t="s">
        <v>592</v>
      </c>
      <c r="G883" s="354">
        <v>3680110.84</v>
      </c>
      <c r="H883" s="210">
        <v>42459</v>
      </c>
      <c r="I883" s="210">
        <v>42454</v>
      </c>
      <c r="J883" s="163">
        <v>3087780.11</v>
      </c>
      <c r="K883" s="163">
        <v>3087780.11</v>
      </c>
      <c r="L883" s="210">
        <v>42720</v>
      </c>
      <c r="M883" s="163"/>
      <c r="N883" s="213">
        <v>1</v>
      </c>
      <c r="O883" s="491"/>
      <c r="P883" s="176"/>
      <c r="Q883" s="280" t="s">
        <v>1118</v>
      </c>
      <c r="R883" s="496"/>
    </row>
    <row r="884" spans="1:22" ht="33" outlineLevel="1" x14ac:dyDescent="0.25">
      <c r="A884" s="1028"/>
      <c r="B884" s="1026"/>
      <c r="C884" s="253" t="s">
        <v>515</v>
      </c>
      <c r="D884" s="163">
        <v>1151456.98</v>
      </c>
      <c r="E884" s="273" t="s">
        <v>760</v>
      </c>
      <c r="F884" s="253" t="s">
        <v>761</v>
      </c>
      <c r="G884" s="354">
        <v>1259559.1399999999</v>
      </c>
      <c r="H884" s="210">
        <v>42583</v>
      </c>
      <c r="I884" s="619">
        <v>42566</v>
      </c>
      <c r="J884" s="163">
        <v>1151456.98</v>
      </c>
      <c r="K884" s="163">
        <v>1151456.98</v>
      </c>
      <c r="L884" s="210"/>
      <c r="M884" s="163"/>
      <c r="N884" s="213">
        <v>1</v>
      </c>
      <c r="O884" s="301"/>
      <c r="P884" s="176"/>
      <c r="Q884" s="497"/>
      <c r="R884" s="496"/>
    </row>
    <row r="885" spans="1:22" s="75" customFormat="1" ht="33" outlineLevel="1" x14ac:dyDescent="0.25">
      <c r="A885" s="1028"/>
      <c r="B885" s="1026"/>
      <c r="C885" s="253" t="s">
        <v>1076</v>
      </c>
      <c r="D885" s="163">
        <v>64528.61</v>
      </c>
      <c r="E885" s="273" t="s">
        <v>1077</v>
      </c>
      <c r="F885" s="253" t="s">
        <v>1078</v>
      </c>
      <c r="G885" s="163">
        <v>64528.61</v>
      </c>
      <c r="H885" s="210"/>
      <c r="I885" s="621">
        <v>42604</v>
      </c>
      <c r="J885" s="163">
        <v>64528.61</v>
      </c>
      <c r="K885" s="163">
        <v>64528.61</v>
      </c>
      <c r="L885" s="210"/>
      <c r="M885" s="163"/>
      <c r="N885" s="213">
        <v>1</v>
      </c>
      <c r="O885" s="531"/>
      <c r="P885" s="457"/>
      <c r="Q885" s="622"/>
      <c r="R885" s="626"/>
      <c r="S885" s="67"/>
      <c r="T885" s="67"/>
      <c r="U885" s="67"/>
      <c r="V885" s="67"/>
    </row>
    <row r="886" spans="1:22" ht="49.5" outlineLevel="1" x14ac:dyDescent="0.25">
      <c r="A886" s="1028"/>
      <c r="B886" s="1026"/>
      <c r="C886" s="294" t="s">
        <v>37</v>
      </c>
      <c r="D886" s="180">
        <f>87225.78*1.18</f>
        <v>102926.42039999999</v>
      </c>
      <c r="E886" s="181" t="s">
        <v>559</v>
      </c>
      <c r="F886" s="181" t="s">
        <v>535</v>
      </c>
      <c r="G886" s="182">
        <f>87225.78*1.18</f>
        <v>102926.42039999999</v>
      </c>
      <c r="H886" s="183">
        <v>42458</v>
      </c>
      <c r="I886" s="183">
        <v>42408</v>
      </c>
      <c r="J886" s="184">
        <v>102926.42</v>
      </c>
      <c r="K886" s="184">
        <v>102926.42</v>
      </c>
      <c r="L886" s="183"/>
      <c r="M886" s="184">
        <f>J886-D886</f>
        <v>-3.9999998989515007E-4</v>
      </c>
      <c r="N886" s="202"/>
      <c r="O886" s="283"/>
      <c r="P886" s="176"/>
      <c r="Q886" s="177"/>
      <c r="R886" s="132"/>
    </row>
    <row r="887" spans="1:22" ht="17.25" outlineLevel="1" thickBot="1" x14ac:dyDescent="0.3">
      <c r="A887" s="1006" t="s">
        <v>628</v>
      </c>
      <c r="B887" s="1007"/>
      <c r="C887" s="364"/>
      <c r="D887" s="365">
        <f>SUM(D879:D886)</f>
        <v>11158708.860399997</v>
      </c>
      <c r="E887" s="239"/>
      <c r="F887" s="239"/>
      <c r="G887" s="366">
        <f>SUM(G879:G886)</f>
        <v>11474194.667284902</v>
      </c>
      <c r="H887" s="239"/>
      <c r="I887" s="321"/>
      <c r="J887" s="365">
        <f>SUM(J879:J886)</f>
        <v>10545641.52</v>
      </c>
      <c r="K887" s="365">
        <f>SUM(K879:K886)</f>
        <v>10545641.52</v>
      </c>
      <c r="L887" s="367"/>
      <c r="M887" s="365"/>
      <c r="N887" s="368">
        <f>AVERAGE(N879:N886)</f>
        <v>1</v>
      </c>
      <c r="O887" s="369"/>
      <c r="P887" s="176"/>
      <c r="Q887" s="497"/>
      <c r="R887" s="496"/>
    </row>
    <row r="888" spans="1:22" s="69" customFormat="1" ht="33" x14ac:dyDescent="0.25">
      <c r="A888" s="1027">
        <v>34</v>
      </c>
      <c r="B888" s="1025" t="s">
        <v>514</v>
      </c>
      <c r="C888" s="197" t="s">
        <v>500</v>
      </c>
      <c r="D888" s="162">
        <v>2839651.12</v>
      </c>
      <c r="E888" s="509" t="s">
        <v>1158</v>
      </c>
      <c r="F888" s="509" t="s">
        <v>768</v>
      </c>
      <c r="G888" s="510">
        <v>2839569.64</v>
      </c>
      <c r="H888" s="206">
        <v>42914</v>
      </c>
      <c r="I888" s="161">
        <v>42720</v>
      </c>
      <c r="J888" s="162">
        <v>2807692</v>
      </c>
      <c r="K888" s="162">
        <v>2807692</v>
      </c>
      <c r="L888" s="161"/>
      <c r="M888" s="162"/>
      <c r="N888" s="200">
        <v>0.1</v>
      </c>
      <c r="O888" s="382"/>
      <c r="P888" s="457">
        <v>2017</v>
      </c>
      <c r="Q888" s="622"/>
      <c r="R888" s="626"/>
      <c r="S888" s="67"/>
      <c r="T888" s="67"/>
      <c r="U888" s="68"/>
      <c r="V888" s="68"/>
    </row>
    <row r="889" spans="1:22" ht="33" outlineLevel="1" x14ac:dyDescent="0.25">
      <c r="A889" s="1028"/>
      <c r="B889" s="1026"/>
      <c r="C889" s="337" t="s">
        <v>501</v>
      </c>
      <c r="D889" s="303">
        <v>8575178</v>
      </c>
      <c r="E889" s="432" t="s">
        <v>1158</v>
      </c>
      <c r="F889" s="432" t="s">
        <v>768</v>
      </c>
      <c r="G889" s="303">
        <v>8574931.9499999993</v>
      </c>
      <c r="H889" s="171">
        <v>42914</v>
      </c>
      <c r="I889" s="172"/>
      <c r="J889" s="173"/>
      <c r="K889" s="173"/>
      <c r="L889" s="171"/>
      <c r="M889" s="173"/>
      <c r="N889" s="460">
        <v>0</v>
      </c>
      <c r="O889" s="301"/>
      <c r="P889" s="176">
        <v>2017</v>
      </c>
      <c r="Q889" s="497"/>
      <c r="R889" s="496"/>
    </row>
    <row r="890" spans="1:22" ht="49.5" outlineLevel="1" x14ac:dyDescent="0.25">
      <c r="A890" s="1028"/>
      <c r="B890" s="1026"/>
      <c r="C890" s="356" t="s">
        <v>37</v>
      </c>
      <c r="D890" s="357">
        <v>157621.22</v>
      </c>
      <c r="E890" s="358" t="s">
        <v>559</v>
      </c>
      <c r="F890" s="358" t="s">
        <v>535</v>
      </c>
      <c r="G890" s="359">
        <f>133577.3*1.18</f>
        <v>157621.21399999998</v>
      </c>
      <c r="H890" s="360">
        <v>42458</v>
      </c>
      <c r="I890" s="360">
        <v>42496</v>
      </c>
      <c r="J890" s="361">
        <v>157621.22</v>
      </c>
      <c r="K890" s="361">
        <v>157621.22</v>
      </c>
      <c r="L890" s="360"/>
      <c r="M890" s="361"/>
      <c r="N890" s="362"/>
      <c r="O890" s="466" t="s">
        <v>856</v>
      </c>
      <c r="P890" s="176"/>
      <c r="Q890" s="497"/>
      <c r="R890" s="496"/>
    </row>
    <row r="891" spans="1:22" ht="17.25" outlineLevel="1" thickBot="1" x14ac:dyDescent="0.3">
      <c r="A891" s="1006" t="s">
        <v>628</v>
      </c>
      <c r="B891" s="1007"/>
      <c r="C891" s="364"/>
      <c r="D891" s="365">
        <f>SUM(D888:D890)</f>
        <v>11572450.340000002</v>
      </c>
      <c r="E891" s="239"/>
      <c r="F891" s="239"/>
      <c r="G891" s="366">
        <f>SUM(G888:G890)</f>
        <v>11572122.804</v>
      </c>
      <c r="H891" s="239"/>
      <c r="I891" s="321"/>
      <c r="J891" s="365">
        <f t="shared" ref="J891" si="90">SUM(J888:J890)</f>
        <v>2965313.22</v>
      </c>
      <c r="K891" s="365">
        <f>SUM(K888:K890)</f>
        <v>2965313.22</v>
      </c>
      <c r="L891" s="367"/>
      <c r="M891" s="365"/>
      <c r="N891" s="368">
        <f>AVERAGE(N888:N890)</f>
        <v>0.05</v>
      </c>
      <c r="O891" s="369"/>
      <c r="P891" s="176"/>
      <c r="Q891" s="497"/>
      <c r="R891" s="496"/>
    </row>
    <row r="892" spans="1:22" s="5" customFormat="1" ht="33" x14ac:dyDescent="0.25">
      <c r="A892" s="1027">
        <v>35</v>
      </c>
      <c r="B892" s="1025" t="s">
        <v>202</v>
      </c>
      <c r="C892" s="197" t="s">
        <v>38</v>
      </c>
      <c r="D892" s="162">
        <v>482771.84</v>
      </c>
      <c r="E892" s="197" t="s">
        <v>590</v>
      </c>
      <c r="F892" s="197" t="s">
        <v>589</v>
      </c>
      <c r="G892" s="353">
        <v>533685.73351097037</v>
      </c>
      <c r="H892" s="161">
        <v>42551</v>
      </c>
      <c r="I892" s="161">
        <v>42537</v>
      </c>
      <c r="J892" s="639">
        <v>482771.84</v>
      </c>
      <c r="K892" s="640">
        <v>482771.84</v>
      </c>
      <c r="L892" s="161">
        <v>42695</v>
      </c>
      <c r="M892" s="162"/>
      <c r="N892" s="200">
        <v>1</v>
      </c>
      <c r="O892" s="453"/>
      <c r="P892" s="176"/>
      <c r="Q892" s="201" t="s">
        <v>1116</v>
      </c>
      <c r="R892" s="496"/>
      <c r="S892" s="18"/>
      <c r="T892" s="18"/>
      <c r="U892" s="19"/>
      <c r="V892" s="19"/>
    </row>
    <row r="893" spans="1:22" ht="33" outlineLevel="1" x14ac:dyDescent="0.25">
      <c r="A893" s="1028"/>
      <c r="B893" s="1026"/>
      <c r="C893" s="253" t="s">
        <v>34</v>
      </c>
      <c r="D893" s="163">
        <v>2244248.6</v>
      </c>
      <c r="E893" s="253" t="s">
        <v>658</v>
      </c>
      <c r="F893" s="253" t="s">
        <v>591</v>
      </c>
      <c r="G893" s="354">
        <v>2255885.06</v>
      </c>
      <c r="H893" s="210">
        <v>42551</v>
      </c>
      <c r="I893" s="210">
        <v>42543</v>
      </c>
      <c r="J893" s="163">
        <v>2244248.6</v>
      </c>
      <c r="K893" s="163">
        <v>2244248.6</v>
      </c>
      <c r="L893" s="210"/>
      <c r="M893" s="163"/>
      <c r="N893" s="213">
        <v>1</v>
      </c>
      <c r="O893" s="300"/>
      <c r="P893" s="176"/>
      <c r="Q893" s="177"/>
      <c r="R893" s="496"/>
    </row>
    <row r="894" spans="1:22" ht="33" outlineLevel="1" x14ac:dyDescent="0.25">
      <c r="A894" s="1028"/>
      <c r="B894" s="1026"/>
      <c r="C894" s="253" t="s">
        <v>35</v>
      </c>
      <c r="D894" s="163">
        <v>259660.04</v>
      </c>
      <c r="E894" s="253" t="s">
        <v>658</v>
      </c>
      <c r="F894" s="253" t="s">
        <v>591</v>
      </c>
      <c r="G894" s="354">
        <v>300875.21999999997</v>
      </c>
      <c r="H894" s="210">
        <v>42415</v>
      </c>
      <c r="I894" s="210">
        <v>42415</v>
      </c>
      <c r="J894" s="163">
        <v>259660.04</v>
      </c>
      <c r="K894" s="163">
        <v>259660.04</v>
      </c>
      <c r="L894" s="210"/>
      <c r="M894" s="163">
        <f t="shared" ref="M894:M896" si="91">J894-D894</f>
        <v>0</v>
      </c>
      <c r="N894" s="213">
        <v>1</v>
      </c>
      <c r="O894" s="491"/>
      <c r="P894" s="176"/>
      <c r="Q894" s="177"/>
      <c r="R894" s="496"/>
    </row>
    <row r="895" spans="1:22" ht="33" outlineLevel="1" x14ac:dyDescent="0.25">
      <c r="A895" s="1028"/>
      <c r="B895" s="1026"/>
      <c r="C895" s="253" t="s">
        <v>36</v>
      </c>
      <c r="D895" s="163">
        <v>341691.69</v>
      </c>
      <c r="E895" s="253" t="s">
        <v>658</v>
      </c>
      <c r="F895" s="253" t="s">
        <v>591</v>
      </c>
      <c r="G895" s="354">
        <v>348969.66</v>
      </c>
      <c r="H895" s="210">
        <v>42429</v>
      </c>
      <c r="I895" s="210">
        <v>42415</v>
      </c>
      <c r="J895" s="163">
        <v>341691.69000000006</v>
      </c>
      <c r="K895" s="163">
        <v>341691.68999999994</v>
      </c>
      <c r="L895" s="210"/>
      <c r="M895" s="163">
        <f t="shared" si="91"/>
        <v>0</v>
      </c>
      <c r="N895" s="213">
        <v>1</v>
      </c>
      <c r="O895" s="491"/>
      <c r="P895" s="176"/>
      <c r="Q895" s="177"/>
      <c r="R895" s="496"/>
    </row>
    <row r="896" spans="1:22" ht="33" outlineLevel="1" x14ac:dyDescent="0.25">
      <c r="A896" s="1028"/>
      <c r="B896" s="1026"/>
      <c r="C896" s="253" t="s">
        <v>500</v>
      </c>
      <c r="D896" s="163">
        <v>4270357.03</v>
      </c>
      <c r="E896" s="253" t="s">
        <v>660</v>
      </c>
      <c r="F896" s="253" t="s">
        <v>593</v>
      </c>
      <c r="G896" s="354">
        <v>4308124.5</v>
      </c>
      <c r="H896" s="210">
        <v>42459</v>
      </c>
      <c r="I896" s="210">
        <v>42459</v>
      </c>
      <c r="J896" s="163">
        <v>4270357.03</v>
      </c>
      <c r="K896" s="163">
        <v>4270357.0299999993</v>
      </c>
      <c r="L896" s="210"/>
      <c r="M896" s="163">
        <f t="shared" si="91"/>
        <v>0</v>
      </c>
      <c r="N896" s="213">
        <v>1</v>
      </c>
      <c r="O896" s="531"/>
      <c r="P896" s="176"/>
      <c r="Q896" s="177"/>
      <c r="R896" s="496"/>
    </row>
    <row r="897" spans="1:22" ht="33" outlineLevel="1" x14ac:dyDescent="0.25">
      <c r="A897" s="1028"/>
      <c r="B897" s="1026"/>
      <c r="C897" s="253" t="s">
        <v>515</v>
      </c>
      <c r="D897" s="163">
        <v>741993.44</v>
      </c>
      <c r="E897" s="273" t="s">
        <v>760</v>
      </c>
      <c r="F897" s="253" t="s">
        <v>761</v>
      </c>
      <c r="G897" s="354">
        <v>770243.82</v>
      </c>
      <c r="H897" s="210">
        <v>42583</v>
      </c>
      <c r="I897" s="619">
        <v>42551</v>
      </c>
      <c r="J897" s="163">
        <v>741993.44</v>
      </c>
      <c r="K897" s="163">
        <v>741993.44</v>
      </c>
      <c r="L897" s="210"/>
      <c r="M897" s="163"/>
      <c r="N897" s="213">
        <v>1</v>
      </c>
      <c r="O897" s="301"/>
      <c r="P897" s="176"/>
      <c r="Q897" s="497"/>
      <c r="R897" s="496"/>
    </row>
    <row r="898" spans="1:22" s="75" customFormat="1" ht="33" outlineLevel="1" x14ac:dyDescent="0.25">
      <c r="A898" s="1028"/>
      <c r="B898" s="1026"/>
      <c r="C898" s="253" t="s">
        <v>1076</v>
      </c>
      <c r="D898" s="163">
        <v>30588.27</v>
      </c>
      <c r="E898" s="273" t="s">
        <v>1077</v>
      </c>
      <c r="F898" s="253" t="s">
        <v>1078</v>
      </c>
      <c r="G898" s="163">
        <v>30588.27</v>
      </c>
      <c r="H898" s="210"/>
      <c r="I898" s="621">
        <v>42604</v>
      </c>
      <c r="J898" s="163">
        <v>30588.27</v>
      </c>
      <c r="K898" s="163">
        <v>30588.27</v>
      </c>
      <c r="L898" s="210"/>
      <c r="M898" s="163"/>
      <c r="N898" s="213"/>
      <c r="O898" s="531"/>
      <c r="P898" s="457"/>
      <c r="Q898" s="622"/>
      <c r="R898" s="626"/>
      <c r="S898" s="67"/>
      <c r="T898" s="67"/>
      <c r="U898" s="67"/>
      <c r="V898" s="67"/>
    </row>
    <row r="899" spans="1:22" ht="49.5" outlineLevel="1" x14ac:dyDescent="0.25">
      <c r="A899" s="1028"/>
      <c r="B899" s="1026"/>
      <c r="C899" s="294" t="s">
        <v>37</v>
      </c>
      <c r="D899" s="180">
        <v>89760.41</v>
      </c>
      <c r="E899" s="181" t="s">
        <v>559</v>
      </c>
      <c r="F899" s="181" t="s">
        <v>535</v>
      </c>
      <c r="G899" s="182">
        <f>76086.14*1.18</f>
        <v>89781.645199999999</v>
      </c>
      <c r="H899" s="183">
        <v>42458</v>
      </c>
      <c r="I899" s="183">
        <v>42408</v>
      </c>
      <c r="J899" s="184">
        <v>89760.41</v>
      </c>
      <c r="K899" s="184">
        <v>89760.41</v>
      </c>
      <c r="L899" s="183"/>
      <c r="M899" s="184">
        <f>J899-D899</f>
        <v>0</v>
      </c>
      <c r="N899" s="202"/>
      <c r="O899" s="283"/>
      <c r="P899" s="176"/>
      <c r="Q899" s="177"/>
      <c r="R899" s="132"/>
    </row>
    <row r="900" spans="1:22" ht="17.25" outlineLevel="1" thickBot="1" x14ac:dyDescent="0.3">
      <c r="A900" s="1006" t="s">
        <v>628</v>
      </c>
      <c r="B900" s="1007"/>
      <c r="C900" s="364"/>
      <c r="D900" s="365">
        <f>SUM(D892:D899)</f>
        <v>8461071.3200000003</v>
      </c>
      <c r="E900" s="239"/>
      <c r="F900" s="239"/>
      <c r="G900" s="366">
        <f>SUM(G892:G899)</f>
        <v>8638153.9087109696</v>
      </c>
      <c r="H900" s="239"/>
      <c r="I900" s="321"/>
      <c r="J900" s="365">
        <f>SUM(J892:J899)</f>
        <v>8461071.3200000003</v>
      </c>
      <c r="K900" s="365">
        <f>SUM(K892:K899)</f>
        <v>8461071.3199999984</v>
      </c>
      <c r="L900" s="367"/>
      <c r="M900" s="365"/>
      <c r="N900" s="368">
        <f>AVERAGE(N892:N899)</f>
        <v>1</v>
      </c>
      <c r="O900" s="369"/>
      <c r="P900" s="176"/>
      <c r="Q900" s="497"/>
      <c r="R900" s="496"/>
    </row>
    <row r="901" spans="1:22" s="8" customFormat="1" ht="19.5" customHeight="1" outlineLevel="1" thickBot="1" x14ac:dyDescent="0.3">
      <c r="A901" s="436"/>
      <c r="B901" s="1078" t="s">
        <v>1097</v>
      </c>
      <c r="C901" s="1079"/>
      <c r="D901" s="437">
        <v>3228714.1</v>
      </c>
      <c r="E901" s="438"/>
      <c r="F901" s="439"/>
      <c r="G901" s="440">
        <f>SUM(G902:G913)</f>
        <v>3228714.1</v>
      </c>
      <c r="H901" s="441"/>
      <c r="I901" s="442"/>
      <c r="J901" s="437"/>
      <c r="K901" s="641"/>
      <c r="L901" s="642"/>
      <c r="M901" s="437"/>
      <c r="N901" s="444"/>
      <c r="O901" s="445"/>
      <c r="P901" s="176"/>
      <c r="Q901" s="446"/>
      <c r="R901" s="335"/>
      <c r="S901" s="2"/>
      <c r="T901" s="2"/>
      <c r="U901" s="2"/>
      <c r="V901" s="2"/>
    </row>
    <row r="902" spans="1:22" s="8" customFormat="1" ht="19.5" customHeight="1" outlineLevel="1" x14ac:dyDescent="0.25">
      <c r="A902" s="609"/>
      <c r="B902" s="574" t="s">
        <v>1402</v>
      </c>
      <c r="C902" s="400" t="s">
        <v>37</v>
      </c>
      <c r="D902" s="643"/>
      <c r="E902" s="997" t="s">
        <v>1414</v>
      </c>
      <c r="F902" s="998" t="s">
        <v>1415</v>
      </c>
      <c r="G902" s="575">
        <v>350593.67</v>
      </c>
      <c r="H902" s="980">
        <v>42801</v>
      </c>
      <c r="I902" s="981"/>
      <c r="J902" s="576"/>
      <c r="K902" s="576"/>
      <c r="L902" s="644"/>
      <c r="M902" s="576"/>
      <c r="N902" s="611"/>
      <c r="O902" s="578"/>
      <c r="P902" s="176"/>
      <c r="Q902" s="446"/>
      <c r="R902" s="335"/>
      <c r="S902" s="2"/>
      <c r="T902" s="2"/>
      <c r="U902" s="2"/>
      <c r="V902" s="2"/>
    </row>
    <row r="903" spans="1:22" s="8" customFormat="1" ht="33.75" customHeight="1" outlineLevel="1" x14ac:dyDescent="0.25">
      <c r="A903" s="609" t="s">
        <v>1468</v>
      </c>
      <c r="B903" s="645" t="s">
        <v>1403</v>
      </c>
      <c r="C903" s="337" t="s">
        <v>37</v>
      </c>
      <c r="D903" s="338"/>
      <c r="E903" s="997"/>
      <c r="F903" s="998"/>
      <c r="G903" s="339">
        <v>102048.57</v>
      </c>
      <c r="H903" s="980"/>
      <c r="I903" s="982"/>
      <c r="J903" s="576"/>
      <c r="K903" s="576"/>
      <c r="L903" s="644"/>
      <c r="M903" s="576"/>
      <c r="N903" s="611"/>
      <c r="O903" s="578"/>
      <c r="P903" s="176"/>
      <c r="Q903" s="446"/>
      <c r="R903" s="335"/>
      <c r="S903" s="2"/>
      <c r="T903" s="2"/>
      <c r="U903" s="2"/>
      <c r="V903" s="2"/>
    </row>
    <row r="904" spans="1:22" s="8" customFormat="1" ht="19.5" customHeight="1" outlineLevel="1" x14ac:dyDescent="0.25">
      <c r="A904" s="609"/>
      <c r="B904" s="527" t="s">
        <v>1404</v>
      </c>
      <c r="C904" s="337" t="s">
        <v>37</v>
      </c>
      <c r="D904" s="338"/>
      <c r="E904" s="997"/>
      <c r="F904" s="998"/>
      <c r="G904" s="339">
        <v>461775.68</v>
      </c>
      <c r="H904" s="980"/>
      <c r="I904" s="982"/>
      <c r="J904" s="576"/>
      <c r="K904" s="576"/>
      <c r="L904" s="644"/>
      <c r="M904" s="576"/>
      <c r="N904" s="611"/>
      <c r="O904" s="578"/>
      <c r="P904" s="176"/>
      <c r="Q904" s="446"/>
      <c r="R904" s="335"/>
      <c r="S904" s="2"/>
      <c r="T904" s="2"/>
      <c r="U904" s="2"/>
      <c r="V904" s="2"/>
    </row>
    <row r="905" spans="1:22" s="8" customFormat="1" ht="19.5" customHeight="1" outlineLevel="1" x14ac:dyDescent="0.25">
      <c r="A905" s="609"/>
      <c r="B905" s="527" t="s">
        <v>1405</v>
      </c>
      <c r="C905" s="337" t="s">
        <v>37</v>
      </c>
      <c r="D905" s="338"/>
      <c r="E905" s="997"/>
      <c r="F905" s="998"/>
      <c r="G905" s="339">
        <v>98634.16</v>
      </c>
      <c r="H905" s="980"/>
      <c r="I905" s="982"/>
      <c r="J905" s="576"/>
      <c r="K905" s="576"/>
      <c r="L905" s="644"/>
      <c r="M905" s="576"/>
      <c r="N905" s="611"/>
      <c r="O905" s="578"/>
      <c r="P905" s="176"/>
      <c r="Q905" s="446"/>
      <c r="R905" s="335"/>
      <c r="S905" s="2"/>
      <c r="T905" s="2"/>
      <c r="U905" s="2"/>
      <c r="V905" s="2"/>
    </row>
    <row r="906" spans="1:22" s="8" customFormat="1" ht="19.5" customHeight="1" outlineLevel="1" x14ac:dyDescent="0.25">
      <c r="A906" s="609"/>
      <c r="B906" s="527" t="s">
        <v>1406</v>
      </c>
      <c r="C906" s="337" t="s">
        <v>37</v>
      </c>
      <c r="D906" s="338"/>
      <c r="E906" s="997"/>
      <c r="F906" s="998"/>
      <c r="G906" s="339">
        <v>69623.08</v>
      </c>
      <c r="H906" s="980"/>
      <c r="I906" s="982"/>
      <c r="J906" s="576"/>
      <c r="K906" s="576"/>
      <c r="L906" s="644"/>
      <c r="M906" s="576"/>
      <c r="N906" s="611"/>
      <c r="O906" s="578"/>
      <c r="P906" s="176"/>
      <c r="Q906" s="446"/>
      <c r="R906" s="335"/>
      <c r="S906" s="2"/>
      <c r="T906" s="2"/>
      <c r="U906" s="2"/>
      <c r="V906" s="2"/>
    </row>
    <row r="907" spans="1:22" s="8" customFormat="1" ht="33.75" customHeight="1" outlineLevel="1" x14ac:dyDescent="0.25">
      <c r="A907" s="609"/>
      <c r="B907" s="527" t="s">
        <v>1407</v>
      </c>
      <c r="C907" s="337" t="s">
        <v>37</v>
      </c>
      <c r="D907" s="338"/>
      <c r="E907" s="997"/>
      <c r="F907" s="998"/>
      <c r="G907" s="339">
        <v>294838.59999999998</v>
      </c>
      <c r="H907" s="980"/>
      <c r="I907" s="982"/>
      <c r="J907" s="576"/>
      <c r="K907" s="576"/>
      <c r="L907" s="644"/>
      <c r="M907" s="576"/>
      <c r="N907" s="611"/>
      <c r="O907" s="578"/>
      <c r="P907" s="176"/>
      <c r="Q907" s="446"/>
      <c r="R907" s="335"/>
      <c r="S907" s="2"/>
      <c r="T907" s="2"/>
      <c r="U907" s="2"/>
      <c r="V907" s="2"/>
    </row>
    <row r="908" spans="1:22" s="8" customFormat="1" ht="36" customHeight="1" outlineLevel="1" x14ac:dyDescent="0.25">
      <c r="A908" s="609"/>
      <c r="B908" s="527" t="s">
        <v>1408</v>
      </c>
      <c r="C908" s="337" t="s">
        <v>37</v>
      </c>
      <c r="D908" s="338"/>
      <c r="E908" s="997"/>
      <c r="F908" s="998"/>
      <c r="G908" s="339">
        <v>288784.27</v>
      </c>
      <c r="H908" s="980"/>
      <c r="I908" s="982"/>
      <c r="J908" s="576"/>
      <c r="K908" s="576"/>
      <c r="L908" s="644"/>
      <c r="M908" s="576"/>
      <c r="N908" s="611"/>
      <c r="O908" s="578"/>
      <c r="P908" s="176"/>
      <c r="Q908" s="446"/>
      <c r="R908" s="335"/>
      <c r="S908" s="2"/>
      <c r="T908" s="2"/>
      <c r="U908" s="2"/>
      <c r="V908" s="2"/>
    </row>
    <row r="909" spans="1:22" s="8" customFormat="1" ht="37.5" customHeight="1" outlineLevel="1" x14ac:dyDescent="0.25">
      <c r="A909" s="609"/>
      <c r="B909" s="527" t="s">
        <v>1409</v>
      </c>
      <c r="C909" s="337" t="s">
        <v>37</v>
      </c>
      <c r="D909" s="338"/>
      <c r="E909" s="997"/>
      <c r="F909" s="998"/>
      <c r="G909" s="339">
        <v>266653.21000000002</v>
      </c>
      <c r="H909" s="980"/>
      <c r="I909" s="982"/>
      <c r="J909" s="576"/>
      <c r="K909" s="576"/>
      <c r="L909" s="644"/>
      <c r="M909" s="576"/>
      <c r="N909" s="611"/>
      <c r="O909" s="578"/>
      <c r="P909" s="176"/>
      <c r="Q909" s="446"/>
      <c r="R909" s="335"/>
      <c r="S909" s="2"/>
      <c r="T909" s="2"/>
      <c r="U909" s="2"/>
      <c r="V909" s="2"/>
    </row>
    <row r="910" spans="1:22" s="8" customFormat="1" ht="36" customHeight="1" outlineLevel="1" x14ac:dyDescent="0.25">
      <c r="A910" s="609"/>
      <c r="B910" s="527" t="s">
        <v>1410</v>
      </c>
      <c r="C910" s="337" t="s">
        <v>37</v>
      </c>
      <c r="D910" s="338"/>
      <c r="E910" s="997"/>
      <c r="F910" s="998"/>
      <c r="G910" s="339">
        <v>277086.15999999997</v>
      </c>
      <c r="H910" s="980"/>
      <c r="I910" s="982"/>
      <c r="J910" s="576"/>
      <c r="K910" s="576"/>
      <c r="L910" s="644"/>
      <c r="M910" s="576"/>
      <c r="N910" s="611"/>
      <c r="O910" s="578"/>
      <c r="P910" s="176"/>
      <c r="Q910" s="446"/>
      <c r="R910" s="335"/>
      <c r="S910" s="2"/>
      <c r="T910" s="2"/>
      <c r="U910" s="2"/>
      <c r="V910" s="2"/>
    </row>
    <row r="911" spans="1:22" s="8" customFormat="1" ht="33" customHeight="1" outlineLevel="1" x14ac:dyDescent="0.25">
      <c r="A911" s="609"/>
      <c r="B911" s="527" t="s">
        <v>1411</v>
      </c>
      <c r="C911" s="337" t="s">
        <v>37</v>
      </c>
      <c r="D911" s="338"/>
      <c r="E911" s="997"/>
      <c r="F911" s="998"/>
      <c r="G911" s="339">
        <v>339142.81</v>
      </c>
      <c r="H911" s="980"/>
      <c r="I911" s="982"/>
      <c r="J911" s="576"/>
      <c r="K911" s="576"/>
      <c r="L911" s="644"/>
      <c r="M911" s="576"/>
      <c r="N911" s="611"/>
      <c r="O911" s="578"/>
      <c r="P911" s="176"/>
      <c r="Q911" s="446"/>
      <c r="R911" s="335"/>
      <c r="S911" s="2"/>
      <c r="T911" s="2"/>
      <c r="U911" s="2"/>
      <c r="V911" s="2"/>
    </row>
    <row r="912" spans="1:22" s="8" customFormat="1" ht="30" customHeight="1" outlineLevel="1" x14ac:dyDescent="0.25">
      <c r="A912" s="609"/>
      <c r="B912" s="527" t="s">
        <v>1412</v>
      </c>
      <c r="C912" s="337" t="s">
        <v>37</v>
      </c>
      <c r="D912" s="338"/>
      <c r="E912" s="997"/>
      <c r="F912" s="998"/>
      <c r="G912" s="339">
        <v>255939.71</v>
      </c>
      <c r="H912" s="980"/>
      <c r="I912" s="982"/>
      <c r="J912" s="576"/>
      <c r="K912" s="576"/>
      <c r="L912" s="644"/>
      <c r="M912" s="576"/>
      <c r="N912" s="611"/>
      <c r="O912" s="578"/>
      <c r="P912" s="176"/>
      <c r="Q912" s="446"/>
      <c r="R912" s="335"/>
      <c r="S912" s="2"/>
      <c r="T912" s="2"/>
      <c r="U912" s="2"/>
      <c r="V912" s="2"/>
    </row>
    <row r="913" spans="1:22" s="8" customFormat="1" ht="27.75" customHeight="1" outlineLevel="1" thickBot="1" x14ac:dyDescent="0.3">
      <c r="A913" s="609"/>
      <c r="B913" s="582" t="s">
        <v>1413</v>
      </c>
      <c r="C913" s="377" t="s">
        <v>37</v>
      </c>
      <c r="D913" s="577"/>
      <c r="E913" s="997"/>
      <c r="F913" s="998"/>
      <c r="G913" s="585">
        <v>423594.18</v>
      </c>
      <c r="H913" s="980"/>
      <c r="I913" s="982"/>
      <c r="J913" s="576"/>
      <c r="K913" s="576"/>
      <c r="L913" s="644"/>
      <c r="M913" s="576"/>
      <c r="N913" s="611"/>
      <c r="O913" s="578"/>
      <c r="P913" s="176"/>
      <c r="Q913" s="446"/>
      <c r="R913" s="335"/>
      <c r="S913" s="2"/>
      <c r="T913" s="2"/>
      <c r="U913" s="2"/>
      <c r="V913" s="2"/>
    </row>
    <row r="914" spans="1:22" ht="17.25" outlineLevel="1" thickBot="1" x14ac:dyDescent="0.3">
      <c r="A914" s="1056" t="s">
        <v>629</v>
      </c>
      <c r="B914" s="1057"/>
      <c r="C914" s="150"/>
      <c r="D914" s="149">
        <f>SUM(D900,D891,D887,D878,D870,D861,D852,D844,D836,D828,D818,D808,D798,D796,D793,D790,D787,D785,D782,D779,D774,D771,D768,D765,D762,D759,D751,D743,D735,D732,D730,D728,D720,D711,D776,D901)</f>
        <v>271917124.74520004</v>
      </c>
      <c r="E914" s="150"/>
      <c r="F914" s="150"/>
      <c r="G914" s="151">
        <f>SUM(G900,G891,G887,G878,G870,G861,G852,G844,G836,G828,G818,G808,G798,G796,G793,G790,G787,G785,G782,G779,G774,G771,G768,G765,G762,G759,G751,G743,G735,G732,G730,G728,G720,G711,G901,G776)</f>
        <v>298815527.19189006</v>
      </c>
      <c r="H914" s="150"/>
      <c r="I914" s="449"/>
      <c r="J914" s="149">
        <f>SUM(J900,J891,J887,J878,J870,J861,J852,J844,J836,J828,J818,J808,J798,J796,J793,J790,J787,J785,J782,J779,J774,J776,J771,J768,J765,J762,J759,J751,J743,J735,J732,J730,J728,J720,J711)</f>
        <v>247107706.8499999</v>
      </c>
      <c r="K914" s="646">
        <f>SUM(K900,K891,K887,K878,K870,K861,K852,K844,K836,K828,K818,K808,K798,K796,K793,K790,K787,K785,K782,K779,K776,K774,K771,K768,K765,K762,K759,K751,K743,K735,K732,K730,K728,K720,K711)</f>
        <v>247107706.8499999</v>
      </c>
      <c r="L914" s="647"/>
      <c r="M914" s="613"/>
      <c r="N914" s="617">
        <f>AVERAGE(N900,N891,N887,N878,N870,N861,N852,N844,N836,N828,N818,N808,N798,N796,N793,N790,N787,N785,N782,N779,N774,N771,N768,N765,N762,N759,N751,N743,N735,N732,N730,N728,N720,N711)</f>
        <v>0.91029411764705892</v>
      </c>
      <c r="O914" s="618"/>
      <c r="P914" s="176"/>
      <c r="Q914" s="497"/>
      <c r="R914" s="496"/>
    </row>
    <row r="915" spans="1:22" s="5" customFormat="1" ht="24.75" customHeight="1" thickBot="1" x14ac:dyDescent="0.3">
      <c r="A915" s="1034" t="s">
        <v>640</v>
      </c>
      <c r="B915" s="1035"/>
      <c r="C915" s="1035"/>
      <c r="D915" s="1035"/>
      <c r="E915" s="1035"/>
      <c r="F915" s="1035"/>
      <c r="G915" s="1035"/>
      <c r="H915" s="1035"/>
      <c r="I915" s="1035"/>
      <c r="J915" s="1035"/>
      <c r="K915" s="1035"/>
      <c r="L915" s="1035"/>
      <c r="M915" s="1035"/>
      <c r="N915" s="1035"/>
      <c r="O915" s="1035"/>
      <c r="P915" s="176"/>
      <c r="Q915" s="497"/>
      <c r="R915" s="496"/>
      <c r="S915" s="21"/>
      <c r="T915" s="18"/>
      <c r="U915" s="19"/>
      <c r="V915" s="19"/>
    </row>
    <row r="916" spans="1:22" s="5" customFormat="1" ht="33" x14ac:dyDescent="0.25">
      <c r="A916" s="1062">
        <v>1</v>
      </c>
      <c r="B916" s="1061" t="s">
        <v>222</v>
      </c>
      <c r="C916" s="273" t="s">
        <v>500</v>
      </c>
      <c r="D916" s="275">
        <v>2552914.46</v>
      </c>
      <c r="E916" s="273" t="s">
        <v>848</v>
      </c>
      <c r="F916" s="197" t="s">
        <v>847</v>
      </c>
      <c r="G916" s="486">
        <v>2636235.65</v>
      </c>
      <c r="H916" s="212">
        <v>42556</v>
      </c>
      <c r="I916" s="212">
        <v>42565</v>
      </c>
      <c r="J916" s="275">
        <v>2552914.46</v>
      </c>
      <c r="K916" s="275">
        <v>2552914.46</v>
      </c>
      <c r="L916" s="648"/>
      <c r="M916" s="163">
        <f t="shared" ref="M916" si="92">J916-D916</f>
        <v>0</v>
      </c>
      <c r="N916" s="488">
        <v>1</v>
      </c>
      <c r="O916" s="546"/>
      <c r="P916" s="176"/>
      <c r="Q916" s="177"/>
      <c r="R916" s="132"/>
      <c r="S916" s="18"/>
      <c r="T916" s="18"/>
      <c r="U916" s="19"/>
      <c r="V916" s="19"/>
    </row>
    <row r="917" spans="1:22" ht="49.5" outlineLevel="1" x14ac:dyDescent="0.25">
      <c r="A917" s="1028"/>
      <c r="B917" s="1026"/>
      <c r="C917" s="356" t="s">
        <v>37</v>
      </c>
      <c r="D917" s="357">
        <v>87237.79</v>
      </c>
      <c r="E917" s="358" t="s">
        <v>563</v>
      </c>
      <c r="F917" s="358" t="s">
        <v>541</v>
      </c>
      <c r="G917" s="359">
        <v>87238.28</v>
      </c>
      <c r="H917" s="360">
        <v>42429</v>
      </c>
      <c r="I917" s="360">
        <v>42593</v>
      </c>
      <c r="J917" s="361">
        <v>87238.284999999974</v>
      </c>
      <c r="K917" s="361">
        <v>87238.284999999974</v>
      </c>
      <c r="L917" s="360"/>
      <c r="M917" s="361">
        <f>J917-D917</f>
        <v>0.49499999998079147</v>
      </c>
      <c r="N917" s="362"/>
      <c r="O917" s="466" t="s">
        <v>716</v>
      </c>
      <c r="P917" s="176"/>
      <c r="Q917" s="177"/>
      <c r="R917" s="132"/>
    </row>
    <row r="918" spans="1:22" ht="17.25" outlineLevel="1" thickBot="1" x14ac:dyDescent="0.3">
      <c r="A918" s="1006" t="s">
        <v>628</v>
      </c>
      <c r="B918" s="1007"/>
      <c r="C918" s="364"/>
      <c r="D918" s="365">
        <f>SUM(D916:D917)</f>
        <v>2640152.25</v>
      </c>
      <c r="E918" s="239"/>
      <c r="F918" s="239"/>
      <c r="G918" s="366">
        <f>SUM(G916:G917)</f>
        <v>2723473.9299999997</v>
      </c>
      <c r="H918" s="239"/>
      <c r="I918" s="321"/>
      <c r="J918" s="365">
        <f t="shared" ref="J918" si="93">SUM(J916:J917)</f>
        <v>2640152.7450000001</v>
      </c>
      <c r="K918" s="365">
        <f>SUM(K916:K917)</f>
        <v>2640152.7450000001</v>
      </c>
      <c r="L918" s="367"/>
      <c r="M918" s="365"/>
      <c r="N918" s="368">
        <f>AVERAGE(N916:N917)</f>
        <v>1</v>
      </c>
      <c r="O918" s="369"/>
      <c r="P918" s="176"/>
      <c r="Q918" s="177"/>
      <c r="R918" s="132"/>
    </row>
    <row r="919" spans="1:22" s="5" customFormat="1" ht="33" x14ac:dyDescent="0.25">
      <c r="A919" s="1027">
        <v>2</v>
      </c>
      <c r="B919" s="1025" t="s">
        <v>223</v>
      </c>
      <c r="C919" s="197" t="s">
        <v>500</v>
      </c>
      <c r="D919" s="162">
        <v>2612747.5499999998</v>
      </c>
      <c r="E919" s="197" t="s">
        <v>848</v>
      </c>
      <c r="F919" s="197" t="s">
        <v>847</v>
      </c>
      <c r="G919" s="353">
        <v>2665764.35</v>
      </c>
      <c r="H919" s="161">
        <v>42556</v>
      </c>
      <c r="I919" s="161">
        <v>42565</v>
      </c>
      <c r="J919" s="162">
        <v>2612747.5499999998</v>
      </c>
      <c r="K919" s="162">
        <v>2612747.5499999998</v>
      </c>
      <c r="L919" s="161"/>
      <c r="M919" s="163">
        <f t="shared" ref="M919" si="94">J919-D919</f>
        <v>0</v>
      </c>
      <c r="N919" s="200">
        <v>1</v>
      </c>
      <c r="O919" s="370"/>
      <c r="P919" s="176"/>
      <c r="Q919" s="177"/>
      <c r="R919" s="132"/>
      <c r="S919" s="18"/>
      <c r="T919" s="18"/>
      <c r="U919" s="19"/>
      <c r="V919" s="19"/>
    </row>
    <row r="920" spans="1:22" ht="49.5" outlineLevel="1" x14ac:dyDescent="0.25">
      <c r="A920" s="1028"/>
      <c r="B920" s="1026"/>
      <c r="C920" s="356" t="s">
        <v>37</v>
      </c>
      <c r="D920" s="357">
        <v>87237.79</v>
      </c>
      <c r="E920" s="358" t="s">
        <v>563</v>
      </c>
      <c r="F920" s="358" t="s">
        <v>541</v>
      </c>
      <c r="G920" s="359">
        <v>87238.28</v>
      </c>
      <c r="H920" s="360">
        <v>42429</v>
      </c>
      <c r="I920" s="360">
        <v>42593</v>
      </c>
      <c r="J920" s="361">
        <v>87238.284999999974</v>
      </c>
      <c r="K920" s="361">
        <v>87238.284999999974</v>
      </c>
      <c r="L920" s="360"/>
      <c r="M920" s="361">
        <f>J920-D920</f>
        <v>0.49499999998079147</v>
      </c>
      <c r="N920" s="362"/>
      <c r="O920" s="466" t="s">
        <v>716</v>
      </c>
      <c r="P920" s="176"/>
      <c r="Q920" s="177"/>
      <c r="R920" s="132"/>
    </row>
    <row r="921" spans="1:22" ht="17.25" outlineLevel="1" thickBot="1" x14ac:dyDescent="0.3">
      <c r="A921" s="1006" t="s">
        <v>628</v>
      </c>
      <c r="B921" s="1007"/>
      <c r="C921" s="364"/>
      <c r="D921" s="365">
        <f>SUM(D919:D920)</f>
        <v>2699985.34</v>
      </c>
      <c r="E921" s="188"/>
      <c r="F921" s="188"/>
      <c r="G921" s="366">
        <f>SUM(G919:G920)</f>
        <v>2753002.63</v>
      </c>
      <c r="H921" s="188"/>
      <c r="I921" s="190"/>
      <c r="J921" s="365">
        <f t="shared" ref="J921" si="95">SUM(J919:J920)</f>
        <v>2699985.835</v>
      </c>
      <c r="K921" s="365">
        <f>SUM(K919:K920)</f>
        <v>2699985.835</v>
      </c>
      <c r="L921" s="367"/>
      <c r="M921" s="365"/>
      <c r="N921" s="368">
        <f>AVERAGE(N919:N920)</f>
        <v>1</v>
      </c>
      <c r="O921" s="369"/>
      <c r="P921" s="176"/>
      <c r="Q921" s="177"/>
      <c r="R921" s="168"/>
      <c r="S921" s="19"/>
      <c r="T921" s="19"/>
    </row>
    <row r="922" spans="1:22" s="5" customFormat="1" ht="16.5" x14ac:dyDescent="0.25">
      <c r="A922" s="1027">
        <v>3</v>
      </c>
      <c r="B922" s="1025" t="s">
        <v>211</v>
      </c>
      <c r="C922" s="371" t="s">
        <v>508</v>
      </c>
      <c r="D922" s="372">
        <v>3888694.72</v>
      </c>
      <c r="E922" s="220" t="s">
        <v>1277</v>
      </c>
      <c r="F922" s="220" t="s">
        <v>862</v>
      </c>
      <c r="G922" s="463">
        <v>3887000</v>
      </c>
      <c r="H922" s="223">
        <v>42941</v>
      </c>
      <c r="I922" s="375"/>
      <c r="J922" s="221"/>
      <c r="K922" s="221"/>
      <c r="L922" s="223"/>
      <c r="M922" s="221"/>
      <c r="N922" s="376">
        <v>0</v>
      </c>
      <c r="O922" s="370"/>
      <c r="P922" s="176"/>
      <c r="Q922" s="177"/>
      <c r="R922" s="132"/>
      <c r="S922" s="18"/>
      <c r="T922" s="18"/>
      <c r="U922" s="19"/>
      <c r="V922" s="19"/>
    </row>
    <row r="923" spans="1:22" s="5" customFormat="1" ht="49.5" x14ac:dyDescent="0.25">
      <c r="A923" s="1028"/>
      <c r="B923" s="1026"/>
      <c r="C923" s="356" t="s">
        <v>37</v>
      </c>
      <c r="D923" s="357">
        <v>84540.86</v>
      </c>
      <c r="E923" s="358" t="s">
        <v>540</v>
      </c>
      <c r="F923" s="358" t="s">
        <v>541</v>
      </c>
      <c r="G923" s="359">
        <v>84540.86</v>
      </c>
      <c r="H923" s="360">
        <v>42353</v>
      </c>
      <c r="I923" s="360">
        <v>42640</v>
      </c>
      <c r="J923" s="361"/>
      <c r="K923" s="361"/>
      <c r="L923" s="360"/>
      <c r="M923" s="361"/>
      <c r="N923" s="362"/>
      <c r="O923" s="466" t="s">
        <v>716</v>
      </c>
      <c r="P923" s="176"/>
      <c r="Q923" s="177"/>
      <c r="R923" s="132"/>
      <c r="S923" s="18"/>
      <c r="T923" s="18"/>
      <c r="U923" s="19"/>
      <c r="V923" s="19"/>
    </row>
    <row r="924" spans="1:22" ht="17.25" outlineLevel="1" thickBot="1" x14ac:dyDescent="0.3">
      <c r="A924" s="1006" t="s">
        <v>628</v>
      </c>
      <c r="B924" s="1007"/>
      <c r="C924" s="364"/>
      <c r="D924" s="365">
        <f>SUM(D922:D923)</f>
        <v>3973235.58</v>
      </c>
      <c r="E924" s="239"/>
      <c r="F924" s="239"/>
      <c r="G924" s="366">
        <f>SUM(G922:G923)</f>
        <v>3971540.86</v>
      </c>
      <c r="H924" s="239"/>
      <c r="I924" s="321"/>
      <c r="J924" s="365">
        <f t="shared" ref="J924" si="96">SUM(J922:J923)</f>
        <v>0</v>
      </c>
      <c r="K924" s="365">
        <f>SUM(K922:K923)</f>
        <v>0</v>
      </c>
      <c r="L924" s="367"/>
      <c r="M924" s="365"/>
      <c r="N924" s="368">
        <f>AVERAGE(N922:N923)</f>
        <v>0</v>
      </c>
      <c r="O924" s="369"/>
      <c r="P924" s="176"/>
      <c r="Q924" s="177"/>
      <c r="R924" s="132"/>
    </row>
    <row r="925" spans="1:22" s="5" customFormat="1" ht="15" customHeight="1" x14ac:dyDescent="0.25">
      <c r="A925" s="1027">
        <v>4</v>
      </c>
      <c r="B925" s="1025" t="s">
        <v>212</v>
      </c>
      <c r="C925" s="197" t="s">
        <v>38</v>
      </c>
      <c r="D925" s="162">
        <v>2075395.85</v>
      </c>
      <c r="E925" s="984" t="s">
        <v>813</v>
      </c>
      <c r="F925" s="984" t="s">
        <v>814</v>
      </c>
      <c r="G925" s="353">
        <v>2075395.85</v>
      </c>
      <c r="H925" s="161">
        <v>42551</v>
      </c>
      <c r="I925" s="975">
        <v>42745</v>
      </c>
      <c r="J925" s="162">
        <v>1702866</v>
      </c>
      <c r="K925" s="162"/>
      <c r="L925" s="161"/>
      <c r="M925" s="162"/>
      <c r="N925" s="649">
        <v>1</v>
      </c>
      <c r="O925" s="370"/>
      <c r="P925" s="176"/>
      <c r="Q925" s="201" t="s">
        <v>1121</v>
      </c>
      <c r="R925" s="132"/>
      <c r="S925" s="18"/>
      <c r="T925" s="18"/>
      <c r="U925" s="19"/>
      <c r="V925" s="19"/>
    </row>
    <row r="926" spans="1:22" ht="16.5" outlineLevel="1" x14ac:dyDescent="0.25">
      <c r="A926" s="1028"/>
      <c r="B926" s="1026"/>
      <c r="C926" s="253" t="s">
        <v>34</v>
      </c>
      <c r="D926" s="163">
        <v>3252812.08</v>
      </c>
      <c r="E926" s="985"/>
      <c r="F926" s="985"/>
      <c r="G926" s="354">
        <v>3252812.08</v>
      </c>
      <c r="H926" s="210">
        <v>42581</v>
      </c>
      <c r="I926" s="976"/>
      <c r="J926" s="163">
        <v>2962930</v>
      </c>
      <c r="K926" s="163"/>
      <c r="L926" s="210"/>
      <c r="M926" s="163"/>
      <c r="N926" s="213">
        <v>1</v>
      </c>
      <c r="O926" s="301"/>
      <c r="P926" s="176"/>
      <c r="Q926" s="1029" t="s">
        <v>1141</v>
      </c>
      <c r="R926" s="132"/>
    </row>
    <row r="927" spans="1:22" ht="16.5" outlineLevel="1" x14ac:dyDescent="0.25">
      <c r="A927" s="1028"/>
      <c r="B927" s="1026"/>
      <c r="C927" s="253" t="s">
        <v>35</v>
      </c>
      <c r="D927" s="163">
        <v>680444.33</v>
      </c>
      <c r="E927" s="985"/>
      <c r="F927" s="985"/>
      <c r="G927" s="354">
        <v>680444.33</v>
      </c>
      <c r="H927" s="1044">
        <v>42551</v>
      </c>
      <c r="I927" s="976"/>
      <c r="J927" s="163">
        <v>655279</v>
      </c>
      <c r="K927" s="163"/>
      <c r="L927" s="210"/>
      <c r="M927" s="163"/>
      <c r="N927" s="213">
        <v>1</v>
      </c>
      <c r="O927" s="301"/>
      <c r="P927" s="176"/>
      <c r="Q927" s="1030"/>
      <c r="R927" s="132"/>
    </row>
    <row r="928" spans="1:22" ht="16.5" outlineLevel="1" x14ac:dyDescent="0.25">
      <c r="A928" s="1028"/>
      <c r="B928" s="1026"/>
      <c r="C928" s="253" t="s">
        <v>36</v>
      </c>
      <c r="D928" s="163">
        <v>544489.6</v>
      </c>
      <c r="E928" s="985"/>
      <c r="F928" s="985"/>
      <c r="G928" s="354">
        <v>544489.6</v>
      </c>
      <c r="H928" s="977"/>
      <c r="I928" s="976"/>
      <c r="J928" s="163">
        <v>543786</v>
      </c>
      <c r="K928" s="163"/>
      <c r="L928" s="210"/>
      <c r="M928" s="163"/>
      <c r="N928" s="488">
        <v>1</v>
      </c>
      <c r="O928" s="301"/>
      <c r="P928" s="176"/>
      <c r="Q928" s="1031"/>
      <c r="R928" s="132"/>
    </row>
    <row r="929" spans="1:22" ht="33" outlineLevel="1" x14ac:dyDescent="0.25">
      <c r="A929" s="1028"/>
      <c r="B929" s="1026"/>
      <c r="C929" s="253" t="s">
        <v>500</v>
      </c>
      <c r="D929" s="163">
        <v>3730987.16</v>
      </c>
      <c r="E929" s="986"/>
      <c r="F929" s="986"/>
      <c r="G929" s="354">
        <v>3730987.16</v>
      </c>
      <c r="H929" s="210">
        <v>42535</v>
      </c>
      <c r="I929" s="977"/>
      <c r="J929" s="163">
        <v>3711592</v>
      </c>
      <c r="K929" s="163"/>
      <c r="L929" s="210"/>
      <c r="M929" s="163"/>
      <c r="N929" s="213">
        <v>1</v>
      </c>
      <c r="O929" s="301"/>
      <c r="P929" s="176"/>
      <c r="Q929" s="201" t="s">
        <v>1121</v>
      </c>
      <c r="R929" s="168"/>
      <c r="S929" s="19"/>
      <c r="T929" s="19"/>
    </row>
    <row r="930" spans="1:22" ht="49.5" outlineLevel="1" x14ac:dyDescent="0.25">
      <c r="A930" s="1028"/>
      <c r="B930" s="1026"/>
      <c r="C930" s="294" t="s">
        <v>37</v>
      </c>
      <c r="D930" s="180">
        <f>276688.55*1.18</f>
        <v>326492.48899999994</v>
      </c>
      <c r="E930" s="181" t="s">
        <v>540</v>
      </c>
      <c r="F930" s="181" t="s">
        <v>543</v>
      </c>
      <c r="G930" s="182">
        <v>325122.78000000003</v>
      </c>
      <c r="H930" s="183">
        <v>42353</v>
      </c>
      <c r="I930" s="183">
        <v>42353</v>
      </c>
      <c r="J930" s="184">
        <v>326492.49</v>
      </c>
      <c r="K930" s="184">
        <v>326492.49</v>
      </c>
      <c r="L930" s="183"/>
      <c r="M930" s="184">
        <f>J930-D930</f>
        <v>1.0000000474974513E-3</v>
      </c>
      <c r="N930" s="202"/>
      <c r="O930" s="283" t="s">
        <v>716</v>
      </c>
      <c r="P930" s="176"/>
      <c r="Q930" s="177"/>
      <c r="R930" s="132"/>
    </row>
    <row r="931" spans="1:22" ht="17.25" outlineLevel="1" thickBot="1" x14ac:dyDescent="0.3">
      <c r="A931" s="1010" t="s">
        <v>628</v>
      </c>
      <c r="B931" s="1011"/>
      <c r="C931" s="377"/>
      <c r="D931" s="378">
        <f>SUM(D925:D930)</f>
        <v>10610621.509</v>
      </c>
      <c r="E931" s="247"/>
      <c r="F931" s="247"/>
      <c r="G931" s="379">
        <f>SUM(G925:G930)</f>
        <v>10609251.799999999</v>
      </c>
      <c r="H931" s="247"/>
      <c r="I931" s="277"/>
      <c r="J931" s="378">
        <f>SUM(J925:J930)</f>
        <v>9902945.4900000002</v>
      </c>
      <c r="K931" s="378">
        <f>SUM(K925:K930)</f>
        <v>326492.49</v>
      </c>
      <c r="L931" s="380"/>
      <c r="M931" s="378"/>
      <c r="N931" s="395">
        <f>AVERAGE(N925:N930)</f>
        <v>1</v>
      </c>
      <c r="O931" s="381"/>
      <c r="P931" s="176"/>
      <c r="Q931" s="177"/>
      <c r="R931" s="132"/>
    </row>
    <row r="932" spans="1:22" s="5" customFormat="1" ht="49.5" x14ac:dyDescent="0.25">
      <c r="A932" s="1027">
        <v>5</v>
      </c>
      <c r="B932" s="1025" t="s">
        <v>213</v>
      </c>
      <c r="C932" s="197" t="s">
        <v>38</v>
      </c>
      <c r="D932" s="162">
        <v>607123.32999999996</v>
      </c>
      <c r="E932" s="197" t="s">
        <v>1028</v>
      </c>
      <c r="F932" s="197" t="s">
        <v>1029</v>
      </c>
      <c r="G932" s="162">
        <v>619265.44999999995</v>
      </c>
      <c r="H932" s="161">
        <v>42627</v>
      </c>
      <c r="I932" s="206">
        <v>42685</v>
      </c>
      <c r="J932" s="162">
        <v>607123.32999999996</v>
      </c>
      <c r="K932" s="162">
        <v>607123.32999999996</v>
      </c>
      <c r="L932" s="161"/>
      <c r="M932" s="162"/>
      <c r="N932" s="250">
        <v>1</v>
      </c>
      <c r="O932" s="650"/>
      <c r="P932" s="176"/>
      <c r="Q932" s="530" t="s">
        <v>1118</v>
      </c>
      <c r="R932" s="132"/>
      <c r="S932" s="18"/>
      <c r="T932" s="18"/>
      <c r="U932" s="19"/>
      <c r="V932" s="19"/>
    </row>
    <row r="933" spans="1:22" ht="49.5" outlineLevel="1" x14ac:dyDescent="0.25">
      <c r="A933" s="1028"/>
      <c r="B933" s="1026"/>
      <c r="C933" s="253" t="s">
        <v>34</v>
      </c>
      <c r="D933" s="163">
        <v>4209235.45</v>
      </c>
      <c r="E933" s="253" t="s">
        <v>1028</v>
      </c>
      <c r="F933" s="253" t="s">
        <v>1029</v>
      </c>
      <c r="G933" s="163">
        <v>4331217.4000000004</v>
      </c>
      <c r="H933" s="210">
        <v>42627</v>
      </c>
      <c r="I933" s="210">
        <v>42685</v>
      </c>
      <c r="J933" s="163">
        <v>4209235.45</v>
      </c>
      <c r="K933" s="163">
        <v>4209235.45</v>
      </c>
      <c r="L933" s="210"/>
      <c r="M933" s="163"/>
      <c r="N933" s="256">
        <v>1</v>
      </c>
      <c r="O933" s="651"/>
      <c r="P933" s="176"/>
      <c r="Q933" s="530" t="s">
        <v>1118</v>
      </c>
      <c r="R933" s="132"/>
    </row>
    <row r="934" spans="1:22" ht="49.5" outlineLevel="1" x14ac:dyDescent="0.25">
      <c r="A934" s="1028"/>
      <c r="B934" s="1026"/>
      <c r="C934" s="253" t="s">
        <v>35</v>
      </c>
      <c r="D934" s="163">
        <v>660983.61</v>
      </c>
      <c r="E934" s="253" t="s">
        <v>1028</v>
      </c>
      <c r="F934" s="253" t="s">
        <v>1029</v>
      </c>
      <c r="G934" s="163">
        <v>674203.29</v>
      </c>
      <c r="H934" s="210">
        <v>42627</v>
      </c>
      <c r="I934" s="210">
        <v>42685</v>
      </c>
      <c r="J934" s="163">
        <v>660983.61</v>
      </c>
      <c r="K934" s="163">
        <v>660983.61</v>
      </c>
      <c r="L934" s="210"/>
      <c r="M934" s="163"/>
      <c r="N934" s="256">
        <v>1</v>
      </c>
      <c r="O934" s="651"/>
      <c r="P934" s="176"/>
      <c r="Q934" s="530" t="s">
        <v>1118</v>
      </c>
      <c r="R934" s="132"/>
    </row>
    <row r="935" spans="1:22" ht="33" outlineLevel="1" x14ac:dyDescent="0.25">
      <c r="A935" s="1028"/>
      <c r="B935" s="1026"/>
      <c r="C935" s="253" t="s">
        <v>36</v>
      </c>
      <c r="D935" s="163">
        <v>548593.28</v>
      </c>
      <c r="E935" s="253" t="s">
        <v>1028</v>
      </c>
      <c r="F935" s="253" t="s">
        <v>1029</v>
      </c>
      <c r="G935" s="163">
        <v>559565.35</v>
      </c>
      <c r="H935" s="210">
        <v>42627</v>
      </c>
      <c r="I935" s="212">
        <v>42685</v>
      </c>
      <c r="J935" s="163">
        <v>548593.28</v>
      </c>
      <c r="K935" s="163">
        <v>548593.28</v>
      </c>
      <c r="L935" s="210"/>
      <c r="M935" s="163"/>
      <c r="N935" s="256">
        <v>1</v>
      </c>
      <c r="O935" s="651"/>
      <c r="P935" s="176"/>
      <c r="Q935" s="432" t="s">
        <v>1114</v>
      </c>
      <c r="R935" s="168"/>
      <c r="S935" s="19"/>
      <c r="T935" s="19"/>
    </row>
    <row r="936" spans="1:22" ht="33" outlineLevel="1" x14ac:dyDescent="0.25">
      <c r="A936" s="1028"/>
      <c r="B936" s="1026"/>
      <c r="C936" s="253" t="s">
        <v>501</v>
      </c>
      <c r="D936" s="163">
        <v>10325000</v>
      </c>
      <c r="E936" s="253" t="s">
        <v>1049</v>
      </c>
      <c r="F936" s="253" t="s">
        <v>1048</v>
      </c>
      <c r="G936" s="163">
        <v>9226318.2200000007</v>
      </c>
      <c r="H936" s="210">
        <v>42714</v>
      </c>
      <c r="I936" s="210">
        <v>42759</v>
      </c>
      <c r="J936" s="163">
        <v>7966200</v>
      </c>
      <c r="K936" s="163"/>
      <c r="L936" s="210"/>
      <c r="M936" s="163"/>
      <c r="N936" s="652">
        <v>0.35</v>
      </c>
      <c r="O936" s="651"/>
      <c r="P936" s="176">
        <v>2017</v>
      </c>
      <c r="Q936" s="526" t="s">
        <v>1130</v>
      </c>
      <c r="R936" s="132"/>
    </row>
    <row r="937" spans="1:22" ht="49.5" outlineLevel="1" x14ac:dyDescent="0.25">
      <c r="A937" s="1028"/>
      <c r="B937" s="1026"/>
      <c r="C937" s="253" t="s">
        <v>508</v>
      </c>
      <c r="D937" s="163">
        <v>5217151.68</v>
      </c>
      <c r="E937" s="253" t="s">
        <v>1028</v>
      </c>
      <c r="F937" s="253" t="s">
        <v>1029</v>
      </c>
      <c r="G937" s="163">
        <v>5321495.05</v>
      </c>
      <c r="H937" s="210">
        <v>42627</v>
      </c>
      <c r="I937" s="212">
        <v>42685</v>
      </c>
      <c r="J937" s="163">
        <v>5217151.68</v>
      </c>
      <c r="K937" s="163">
        <v>5217151.68</v>
      </c>
      <c r="L937" s="210">
        <v>42702</v>
      </c>
      <c r="M937" s="163"/>
      <c r="N937" s="256">
        <v>1</v>
      </c>
      <c r="O937" s="651"/>
      <c r="P937" s="176"/>
      <c r="Q937" s="530" t="s">
        <v>1118</v>
      </c>
      <c r="R937" s="132"/>
    </row>
    <row r="938" spans="1:22" ht="49.5" outlineLevel="1" x14ac:dyDescent="0.25">
      <c r="A938" s="1028"/>
      <c r="B938" s="1026"/>
      <c r="C938" s="294" t="s">
        <v>37</v>
      </c>
      <c r="D938" s="180">
        <v>375847.99</v>
      </c>
      <c r="E938" s="181" t="s">
        <v>540</v>
      </c>
      <c r="F938" s="181" t="s">
        <v>539</v>
      </c>
      <c r="G938" s="180">
        <v>381214.32</v>
      </c>
      <c r="H938" s="183">
        <v>42353</v>
      </c>
      <c r="I938" s="183">
        <v>42353</v>
      </c>
      <c r="J938" s="184">
        <f>375847.99-296075.71</f>
        <v>79772.27999999997</v>
      </c>
      <c r="K938" s="184">
        <v>79772.28</v>
      </c>
      <c r="L938" s="183"/>
      <c r="M938" s="184">
        <f>J938-D938</f>
        <v>-296075.71000000002</v>
      </c>
      <c r="N938" s="318"/>
      <c r="O938" s="653" t="s">
        <v>716</v>
      </c>
      <c r="P938" s="176"/>
      <c r="Q938" s="177"/>
      <c r="R938" s="168"/>
      <c r="S938" s="19"/>
      <c r="T938" s="19"/>
    </row>
    <row r="939" spans="1:22" ht="17.25" outlineLevel="1" thickBot="1" x14ac:dyDescent="0.3">
      <c r="A939" s="1006" t="s">
        <v>628</v>
      </c>
      <c r="B939" s="1007"/>
      <c r="C939" s="364"/>
      <c r="D939" s="365">
        <f>SUM(D932:D938)</f>
        <v>21943935.34</v>
      </c>
      <c r="E939" s="239"/>
      <c r="F939" s="239"/>
      <c r="G939" s="365">
        <f>SUM(G932:G938)</f>
        <v>21113279.080000002</v>
      </c>
      <c r="H939" s="239"/>
      <c r="I939" s="321"/>
      <c r="J939" s="365">
        <f>SUM(J932:J938)</f>
        <v>19289059.630000003</v>
      </c>
      <c r="K939" s="365">
        <f>SUM(K932:K938)</f>
        <v>11322859.630000001</v>
      </c>
      <c r="L939" s="367"/>
      <c r="M939" s="365"/>
      <c r="N939" s="399">
        <f>AVERAGE(N932:N938)</f>
        <v>0.89166666666666661</v>
      </c>
      <c r="O939" s="654"/>
      <c r="P939" s="176"/>
      <c r="Q939" s="177"/>
      <c r="R939" s="132"/>
    </row>
    <row r="940" spans="1:22" s="5" customFormat="1" ht="49.5" x14ac:dyDescent="0.25">
      <c r="A940" s="1062">
        <v>6</v>
      </c>
      <c r="B940" s="1061" t="s">
        <v>214</v>
      </c>
      <c r="C940" s="273" t="s">
        <v>38</v>
      </c>
      <c r="D940" s="275">
        <v>607123.32999999996</v>
      </c>
      <c r="E940" s="479" t="s">
        <v>1028</v>
      </c>
      <c r="F940" s="479" t="s">
        <v>1029</v>
      </c>
      <c r="G940" s="562">
        <v>619265.44999999995</v>
      </c>
      <c r="H940" s="257">
        <v>42627</v>
      </c>
      <c r="I940" s="212">
        <v>42685</v>
      </c>
      <c r="J940" s="275">
        <v>607123.32999999996</v>
      </c>
      <c r="K940" s="275">
        <v>607123.32999999996</v>
      </c>
      <c r="L940" s="212"/>
      <c r="M940" s="275"/>
      <c r="N940" s="250">
        <v>1</v>
      </c>
      <c r="O940" s="650"/>
      <c r="P940" s="176"/>
      <c r="Q940" s="530" t="s">
        <v>1118</v>
      </c>
      <c r="R940" s="132"/>
      <c r="S940" s="18"/>
      <c r="T940" s="18"/>
      <c r="U940" s="19"/>
      <c r="V940" s="19"/>
    </row>
    <row r="941" spans="1:22" ht="49.5" outlineLevel="1" x14ac:dyDescent="0.25">
      <c r="A941" s="1028"/>
      <c r="B941" s="1026"/>
      <c r="C941" s="253" t="s">
        <v>34</v>
      </c>
      <c r="D941" s="163">
        <v>4246291.93</v>
      </c>
      <c r="E941" s="253" t="s">
        <v>1028</v>
      </c>
      <c r="F941" s="253" t="s">
        <v>1029</v>
      </c>
      <c r="G941" s="163">
        <v>4331217.4000000004</v>
      </c>
      <c r="H941" s="210">
        <v>42627</v>
      </c>
      <c r="I941" s="210">
        <v>42634</v>
      </c>
      <c r="J941" s="163">
        <v>4246291.93</v>
      </c>
      <c r="K941" s="163">
        <v>4246291.93</v>
      </c>
      <c r="L941" s="210"/>
      <c r="M941" s="163"/>
      <c r="N941" s="256">
        <v>1</v>
      </c>
      <c r="O941" s="651"/>
      <c r="P941" s="176"/>
      <c r="Q941" s="530" t="s">
        <v>1118</v>
      </c>
      <c r="R941" s="132"/>
    </row>
    <row r="942" spans="1:22" ht="49.5" outlineLevel="1" x14ac:dyDescent="0.25">
      <c r="A942" s="1028"/>
      <c r="B942" s="1026"/>
      <c r="C942" s="253" t="s">
        <v>35</v>
      </c>
      <c r="D942" s="163">
        <v>660983.61</v>
      </c>
      <c r="E942" s="253" t="s">
        <v>1028</v>
      </c>
      <c r="F942" s="253" t="s">
        <v>1029</v>
      </c>
      <c r="G942" s="163">
        <v>674203.29</v>
      </c>
      <c r="H942" s="210">
        <v>42627</v>
      </c>
      <c r="I942" s="210">
        <v>42685</v>
      </c>
      <c r="J942" s="163">
        <v>660983.61</v>
      </c>
      <c r="K942" s="163">
        <v>660983.61</v>
      </c>
      <c r="L942" s="210"/>
      <c r="M942" s="163"/>
      <c r="N942" s="256">
        <v>1</v>
      </c>
      <c r="O942" s="651"/>
      <c r="P942" s="176"/>
      <c r="Q942" s="530" t="s">
        <v>1118</v>
      </c>
      <c r="R942" s="168"/>
      <c r="S942" s="19"/>
      <c r="T942" s="19"/>
    </row>
    <row r="943" spans="1:22" ht="33" outlineLevel="1" x14ac:dyDescent="0.25">
      <c r="A943" s="1028"/>
      <c r="B943" s="1026"/>
      <c r="C943" s="253" t="s">
        <v>36</v>
      </c>
      <c r="D943" s="163">
        <v>548593.28</v>
      </c>
      <c r="E943" s="253" t="s">
        <v>1028</v>
      </c>
      <c r="F943" s="253" t="s">
        <v>1029</v>
      </c>
      <c r="G943" s="163">
        <v>559565.35</v>
      </c>
      <c r="H943" s="210">
        <v>42627</v>
      </c>
      <c r="I943" s="210">
        <v>42685</v>
      </c>
      <c r="J943" s="163">
        <v>548593.28</v>
      </c>
      <c r="K943" s="163">
        <v>548593.28</v>
      </c>
      <c r="L943" s="210"/>
      <c r="M943" s="163"/>
      <c r="N943" s="256">
        <v>1</v>
      </c>
      <c r="O943" s="651"/>
      <c r="P943" s="176"/>
      <c r="Q943" s="432" t="s">
        <v>1114</v>
      </c>
      <c r="R943" s="132"/>
    </row>
    <row r="944" spans="1:22" ht="43.5" customHeight="1" outlineLevel="1" x14ac:dyDescent="0.25">
      <c r="A944" s="1028"/>
      <c r="B944" s="1026"/>
      <c r="C944" s="253" t="s">
        <v>501</v>
      </c>
      <c r="D944" s="163">
        <v>10280000</v>
      </c>
      <c r="E944" s="253" t="s">
        <v>1049</v>
      </c>
      <c r="F944" s="253" t="s">
        <v>1048</v>
      </c>
      <c r="G944" s="163">
        <v>9273681.7799999993</v>
      </c>
      <c r="H944" s="210">
        <v>42714</v>
      </c>
      <c r="I944" s="210">
        <v>42714</v>
      </c>
      <c r="J944" s="163">
        <v>7966200</v>
      </c>
      <c r="K944" s="163">
        <v>7966200</v>
      </c>
      <c r="L944" s="210"/>
      <c r="M944" s="163"/>
      <c r="N944" s="256">
        <v>0.35</v>
      </c>
      <c r="O944" s="651"/>
      <c r="P944" s="176">
        <v>2017</v>
      </c>
      <c r="Q944" s="526" t="s">
        <v>1130</v>
      </c>
      <c r="R944" s="132"/>
    </row>
    <row r="945" spans="1:22" ht="49.5" outlineLevel="1" x14ac:dyDescent="0.25">
      <c r="A945" s="1028"/>
      <c r="B945" s="1026"/>
      <c r="C945" s="253" t="s">
        <v>508</v>
      </c>
      <c r="D945" s="163">
        <v>5205884.03</v>
      </c>
      <c r="E945" s="273" t="s">
        <v>1028</v>
      </c>
      <c r="F945" s="273" t="s">
        <v>1029</v>
      </c>
      <c r="G945" s="486">
        <v>5310001.97</v>
      </c>
      <c r="H945" s="212">
        <v>42627</v>
      </c>
      <c r="I945" s="210">
        <v>42685</v>
      </c>
      <c r="J945" s="163">
        <v>5205884.03</v>
      </c>
      <c r="K945" s="163">
        <v>5205884.03</v>
      </c>
      <c r="L945" s="210"/>
      <c r="M945" s="163"/>
      <c r="N945" s="256">
        <v>1</v>
      </c>
      <c r="O945" s="651"/>
      <c r="P945" s="176"/>
      <c r="Q945" s="530" t="s">
        <v>1118</v>
      </c>
      <c r="R945" s="168"/>
      <c r="S945" s="19"/>
      <c r="T945" s="19"/>
    </row>
    <row r="946" spans="1:22" ht="49.5" outlineLevel="1" x14ac:dyDescent="0.25">
      <c r="A946" s="1028"/>
      <c r="B946" s="1026"/>
      <c r="C946" s="294" t="s">
        <v>37</v>
      </c>
      <c r="D946" s="180">
        <v>375847.99</v>
      </c>
      <c r="E946" s="181" t="s">
        <v>540</v>
      </c>
      <c r="F946" s="181" t="s">
        <v>539</v>
      </c>
      <c r="G946" s="182">
        <v>381214.32</v>
      </c>
      <c r="H946" s="183">
        <v>42353</v>
      </c>
      <c r="I946" s="183">
        <v>42353</v>
      </c>
      <c r="J946" s="184">
        <f>375847.99-296075.71</f>
        <v>79772.27999999997</v>
      </c>
      <c r="K946" s="184">
        <v>79772.28</v>
      </c>
      <c r="L946" s="183"/>
      <c r="M946" s="184">
        <f>J946-D946</f>
        <v>-296075.71000000002</v>
      </c>
      <c r="N946" s="202"/>
      <c r="O946" s="283" t="s">
        <v>716</v>
      </c>
      <c r="P946" s="176"/>
      <c r="Q946" s="177"/>
      <c r="R946" s="132"/>
    </row>
    <row r="947" spans="1:22" ht="17.25" outlineLevel="1" thickBot="1" x14ac:dyDescent="0.3">
      <c r="A947" s="1006" t="s">
        <v>628</v>
      </c>
      <c r="B947" s="1007"/>
      <c r="C947" s="364"/>
      <c r="D947" s="365">
        <f>SUM(D940:D946)</f>
        <v>21924724.169999998</v>
      </c>
      <c r="E947" s="239"/>
      <c r="F947" s="239"/>
      <c r="G947" s="366">
        <f>SUM(G940:G946)</f>
        <v>21149149.559999999</v>
      </c>
      <c r="H947" s="239"/>
      <c r="I947" s="321"/>
      <c r="J947" s="365">
        <f>SUM(J940:J946)</f>
        <v>19314848.460000001</v>
      </c>
      <c r="K947" s="365">
        <f>SUM(K940:K946)</f>
        <v>19314848.460000001</v>
      </c>
      <c r="L947" s="367"/>
      <c r="M947" s="365"/>
      <c r="N947" s="368">
        <f>AVERAGE(N940:N946)</f>
        <v>0.89166666666666661</v>
      </c>
      <c r="O947" s="369"/>
      <c r="P947" s="176"/>
      <c r="Q947" s="177"/>
      <c r="R947" s="132"/>
    </row>
    <row r="948" spans="1:22" s="5" customFormat="1" ht="15" customHeight="1" x14ac:dyDescent="0.25">
      <c r="A948" s="1027">
        <v>7</v>
      </c>
      <c r="B948" s="1025" t="s">
        <v>30</v>
      </c>
      <c r="C948" s="197" t="s">
        <v>38</v>
      </c>
      <c r="D948" s="162">
        <v>847688.28</v>
      </c>
      <c r="E948" s="984" t="s">
        <v>813</v>
      </c>
      <c r="F948" s="984" t="s">
        <v>814</v>
      </c>
      <c r="G948" s="353">
        <v>804112.27</v>
      </c>
      <c r="H948" s="975">
        <v>42551</v>
      </c>
      <c r="I948" s="161">
        <v>42640</v>
      </c>
      <c r="J948" s="162">
        <v>790479.75</v>
      </c>
      <c r="K948" s="162">
        <v>790479.75</v>
      </c>
      <c r="L948" s="161">
        <v>42703</v>
      </c>
      <c r="M948" s="162"/>
      <c r="N948" s="200">
        <v>1</v>
      </c>
      <c r="O948" s="370"/>
      <c r="P948" s="176"/>
      <c r="Q948" s="1029" t="s">
        <v>1116</v>
      </c>
      <c r="R948" s="132"/>
      <c r="S948" s="18"/>
      <c r="T948" s="18"/>
      <c r="U948" s="19"/>
      <c r="V948" s="19"/>
    </row>
    <row r="949" spans="1:22" ht="16.5" outlineLevel="1" x14ac:dyDescent="0.25">
      <c r="A949" s="1028"/>
      <c r="B949" s="1026"/>
      <c r="C949" s="253" t="s">
        <v>36</v>
      </c>
      <c r="D949" s="163">
        <v>213306</v>
      </c>
      <c r="E949" s="986"/>
      <c r="F949" s="986"/>
      <c r="G949" s="354">
        <v>195626.73</v>
      </c>
      <c r="H949" s="977"/>
      <c r="I949" s="210">
        <v>42640</v>
      </c>
      <c r="J949" s="163">
        <v>194601</v>
      </c>
      <c r="K949" s="163">
        <v>194601</v>
      </c>
      <c r="L949" s="210">
        <v>42703</v>
      </c>
      <c r="M949" s="163"/>
      <c r="N949" s="213">
        <v>1</v>
      </c>
      <c r="O949" s="301"/>
      <c r="P949" s="176"/>
      <c r="Q949" s="1031"/>
      <c r="R949" s="168"/>
      <c r="S949" s="19"/>
      <c r="T949" s="19"/>
    </row>
    <row r="950" spans="1:22" ht="49.5" outlineLevel="1" x14ac:dyDescent="0.25">
      <c r="A950" s="1028"/>
      <c r="B950" s="1026"/>
      <c r="C950" s="294" t="s">
        <v>37</v>
      </c>
      <c r="D950" s="180">
        <v>58673.95</v>
      </c>
      <c r="E950" s="181" t="s">
        <v>540</v>
      </c>
      <c r="F950" s="655" t="s">
        <v>541</v>
      </c>
      <c r="G950" s="182">
        <v>110218.564847328</v>
      </c>
      <c r="H950" s="183">
        <v>42353</v>
      </c>
      <c r="I950" s="183">
        <v>42353</v>
      </c>
      <c r="J950" s="184">
        <v>58673.95</v>
      </c>
      <c r="K950" s="184">
        <v>58673.95</v>
      </c>
      <c r="L950" s="183"/>
      <c r="M950" s="184">
        <f>J950-D950</f>
        <v>0</v>
      </c>
      <c r="N950" s="202"/>
      <c r="O950" s="283" t="s">
        <v>716</v>
      </c>
      <c r="P950" s="176"/>
      <c r="Q950" s="177"/>
      <c r="R950" s="168"/>
      <c r="S950" s="19"/>
      <c r="T950" s="19"/>
    </row>
    <row r="951" spans="1:22" ht="30.75" customHeight="1" outlineLevel="1" x14ac:dyDescent="0.25">
      <c r="A951" s="1028"/>
      <c r="B951" s="1026"/>
      <c r="C951" s="253" t="s">
        <v>500</v>
      </c>
      <c r="D951" s="163">
        <v>3879879.95</v>
      </c>
      <c r="E951" s="479" t="s">
        <v>813</v>
      </c>
      <c r="F951" s="478" t="s">
        <v>814</v>
      </c>
      <c r="G951" s="354">
        <v>3537997.73</v>
      </c>
      <c r="H951" s="210">
        <v>42535</v>
      </c>
      <c r="I951" s="210">
        <v>42640</v>
      </c>
      <c r="J951" s="163">
        <v>3529388.5</v>
      </c>
      <c r="K951" s="163">
        <v>3529388.5</v>
      </c>
      <c r="L951" s="210">
        <v>42703</v>
      </c>
      <c r="M951" s="163"/>
      <c r="N951" s="213">
        <v>1</v>
      </c>
      <c r="O951" s="301"/>
      <c r="P951" s="176"/>
      <c r="Q951" s="201" t="s">
        <v>1116</v>
      </c>
      <c r="R951" s="132"/>
    </row>
    <row r="952" spans="1:22" ht="33" outlineLevel="1" x14ac:dyDescent="0.25">
      <c r="A952" s="1028"/>
      <c r="B952" s="1026"/>
      <c r="C952" s="337" t="s">
        <v>501</v>
      </c>
      <c r="D952" s="303">
        <v>8580000</v>
      </c>
      <c r="E952" s="432" t="s">
        <v>1020</v>
      </c>
      <c r="F952" s="432" t="s">
        <v>1021</v>
      </c>
      <c r="G952" s="459">
        <v>7578181.8399999999</v>
      </c>
      <c r="H952" s="511">
        <v>42689</v>
      </c>
      <c r="I952" s="302"/>
      <c r="J952" s="303"/>
      <c r="K952" s="303"/>
      <c r="L952" s="511"/>
      <c r="M952" s="303"/>
      <c r="N952" s="174">
        <v>0.15</v>
      </c>
      <c r="O952" s="301"/>
      <c r="P952" s="176">
        <v>2017</v>
      </c>
      <c r="Q952" s="526" t="s">
        <v>1130</v>
      </c>
      <c r="R952" s="132"/>
    </row>
    <row r="953" spans="1:22" ht="49.5" outlineLevel="1" x14ac:dyDescent="0.25">
      <c r="A953" s="1028"/>
      <c r="B953" s="1026"/>
      <c r="C953" s="356" t="s">
        <v>37</v>
      </c>
      <c r="D953" s="357">
        <v>72788.642200000002</v>
      </c>
      <c r="E953" s="358" t="s">
        <v>563</v>
      </c>
      <c r="F953" s="358" t="s">
        <v>541</v>
      </c>
      <c r="G953" s="359">
        <v>145577.27153638558</v>
      </c>
      <c r="H953" s="360">
        <v>42429</v>
      </c>
      <c r="I953" s="360">
        <v>42593</v>
      </c>
      <c r="J953" s="361">
        <v>72788.642200000002</v>
      </c>
      <c r="K953" s="361">
        <v>72788.642200000002</v>
      </c>
      <c r="L953" s="360"/>
      <c r="M953" s="361">
        <f>J953-D953</f>
        <v>0</v>
      </c>
      <c r="N953" s="362"/>
      <c r="O953" s="466"/>
      <c r="P953" s="176"/>
      <c r="Q953" s="177"/>
      <c r="R953" s="168"/>
      <c r="S953" s="19"/>
      <c r="T953" s="19"/>
    </row>
    <row r="954" spans="1:22" ht="17.25" outlineLevel="1" thickBot="1" x14ac:dyDescent="0.3">
      <c r="A954" s="1006" t="s">
        <v>628</v>
      </c>
      <c r="B954" s="1007"/>
      <c r="C954" s="364"/>
      <c r="D954" s="365">
        <f>SUM(D948:D953)</f>
        <v>13652336.8222</v>
      </c>
      <c r="E954" s="247"/>
      <c r="F954" s="247"/>
      <c r="G954" s="366">
        <f>SUM(G948:G953)</f>
        <v>12371714.406383714</v>
      </c>
      <c r="H954" s="239"/>
      <c r="I954" s="321"/>
      <c r="J954" s="365">
        <f>SUM(J948:J953)</f>
        <v>4645931.8421999998</v>
      </c>
      <c r="K954" s="365">
        <f>SUM(K948:K953)</f>
        <v>4645931.8421999998</v>
      </c>
      <c r="L954" s="367"/>
      <c r="M954" s="365"/>
      <c r="N954" s="368">
        <f>AVERAGE(N948:N953)</f>
        <v>0.78749999999999998</v>
      </c>
      <c r="O954" s="369"/>
      <c r="P954" s="176"/>
      <c r="Q954" s="177"/>
      <c r="R954" s="132"/>
    </row>
    <row r="955" spans="1:22" s="5" customFormat="1" ht="30" customHeight="1" x14ac:dyDescent="0.25">
      <c r="A955" s="1027">
        <v>8</v>
      </c>
      <c r="B955" s="1025" t="s">
        <v>215</v>
      </c>
      <c r="C955" s="197" t="s">
        <v>38</v>
      </c>
      <c r="D955" s="162">
        <v>1730042.27</v>
      </c>
      <c r="E955" s="253" t="s">
        <v>786</v>
      </c>
      <c r="F955" s="253" t="s">
        <v>787</v>
      </c>
      <c r="G955" s="353">
        <v>1730052.01</v>
      </c>
      <c r="H955" s="161">
        <v>42505</v>
      </c>
      <c r="I955" s="161">
        <v>42586</v>
      </c>
      <c r="J955" s="162">
        <v>1730042.27</v>
      </c>
      <c r="K955" s="162">
        <v>1730042.27</v>
      </c>
      <c r="L955" s="198"/>
      <c r="M955" s="199"/>
      <c r="N955" s="200">
        <v>1</v>
      </c>
      <c r="O955" s="370"/>
      <c r="P955" s="176"/>
      <c r="Q955" s="177"/>
      <c r="R955" s="168"/>
      <c r="S955" s="19"/>
      <c r="T955" s="19"/>
      <c r="U955" s="19"/>
      <c r="V955" s="19"/>
    </row>
    <row r="956" spans="1:22" ht="16.5" outlineLevel="1" x14ac:dyDescent="0.25">
      <c r="A956" s="1028"/>
      <c r="B956" s="1026"/>
      <c r="C956" s="253" t="s">
        <v>34</v>
      </c>
      <c r="D956" s="163">
        <v>9704049.1999999993</v>
      </c>
      <c r="E956" s="1084" t="s">
        <v>1472</v>
      </c>
      <c r="F956" s="1084" t="s">
        <v>912</v>
      </c>
      <c r="G956" s="354">
        <v>12974224.949999999</v>
      </c>
      <c r="H956" s="1044">
        <v>42623</v>
      </c>
      <c r="I956" s="210">
        <v>42656</v>
      </c>
      <c r="J956" s="163">
        <v>9704049.1999999993</v>
      </c>
      <c r="K956" s="163">
        <v>9704049.1999999993</v>
      </c>
      <c r="L956" s="1044">
        <v>42695</v>
      </c>
      <c r="M956" s="163"/>
      <c r="N956" s="213">
        <v>1</v>
      </c>
      <c r="O956" s="301"/>
      <c r="P956" s="176"/>
      <c r="Q956" s="1029" t="s">
        <v>1116</v>
      </c>
      <c r="R956" s="132"/>
    </row>
    <row r="957" spans="1:22" ht="16.5" outlineLevel="1" x14ac:dyDescent="0.25">
      <c r="A957" s="1028"/>
      <c r="B957" s="1026"/>
      <c r="C957" s="253" t="s">
        <v>35</v>
      </c>
      <c r="D957" s="163">
        <v>994816.24</v>
      </c>
      <c r="E957" s="1084"/>
      <c r="F957" s="1084"/>
      <c r="G957" s="354">
        <v>1236861.08</v>
      </c>
      <c r="H957" s="976"/>
      <c r="I957" s="210">
        <v>42656</v>
      </c>
      <c r="J957" s="163">
        <v>994816.24</v>
      </c>
      <c r="K957" s="163">
        <v>994816.24</v>
      </c>
      <c r="L957" s="976"/>
      <c r="M957" s="163"/>
      <c r="N957" s="213">
        <v>1</v>
      </c>
      <c r="O957" s="301"/>
      <c r="P957" s="176"/>
      <c r="Q957" s="1030"/>
      <c r="R957" s="132"/>
    </row>
    <row r="958" spans="1:22" ht="16.5" outlineLevel="1" x14ac:dyDescent="0.25">
      <c r="A958" s="1028"/>
      <c r="B958" s="1026"/>
      <c r="C958" s="253" t="s">
        <v>36</v>
      </c>
      <c r="D958" s="163">
        <v>469162.27</v>
      </c>
      <c r="E958" s="1084"/>
      <c r="F958" s="1084"/>
      <c r="G958" s="354">
        <v>588913.97</v>
      </c>
      <c r="H958" s="977"/>
      <c r="I958" s="210">
        <v>42656</v>
      </c>
      <c r="J958" s="163">
        <v>469162.27</v>
      </c>
      <c r="K958" s="163">
        <v>469162.27</v>
      </c>
      <c r="L958" s="977"/>
      <c r="M958" s="163"/>
      <c r="N958" s="213">
        <v>1</v>
      </c>
      <c r="O958" s="301"/>
      <c r="P958" s="176"/>
      <c r="Q958" s="1031"/>
      <c r="R958" s="132"/>
    </row>
    <row r="959" spans="1:22" ht="33" outlineLevel="1" x14ac:dyDescent="0.25">
      <c r="A959" s="1028"/>
      <c r="B959" s="1026"/>
      <c r="C959" s="253" t="s">
        <v>500</v>
      </c>
      <c r="D959" s="163">
        <v>10013572.939999999</v>
      </c>
      <c r="E959" s="253" t="s">
        <v>786</v>
      </c>
      <c r="F959" s="253" t="s">
        <v>787</v>
      </c>
      <c r="G959" s="354">
        <v>9746647.3800000008</v>
      </c>
      <c r="H959" s="210">
        <v>42530</v>
      </c>
      <c r="I959" s="210">
        <v>42530</v>
      </c>
      <c r="J959" s="163">
        <v>10013572.940000001</v>
      </c>
      <c r="K959" s="163">
        <v>10013572.940000001</v>
      </c>
      <c r="L959" s="210"/>
      <c r="M959" s="163">
        <f t="shared" ref="M959" si="97">J959-D959</f>
        <v>0</v>
      </c>
      <c r="N959" s="213">
        <v>1</v>
      </c>
      <c r="O959" s="531"/>
      <c r="P959" s="176"/>
      <c r="Q959" s="177"/>
      <c r="R959" s="168"/>
      <c r="S959" s="19"/>
      <c r="T959" s="19"/>
    </row>
    <row r="960" spans="1:22" ht="33" outlineLevel="1" x14ac:dyDescent="0.25">
      <c r="A960" s="1028"/>
      <c r="B960" s="1026"/>
      <c r="C960" s="253" t="s">
        <v>501</v>
      </c>
      <c r="D960" s="163">
        <v>21530000</v>
      </c>
      <c r="E960" s="253" t="s">
        <v>994</v>
      </c>
      <c r="F960" s="253" t="s">
        <v>787</v>
      </c>
      <c r="G960" s="354">
        <v>19530000</v>
      </c>
      <c r="H960" s="210">
        <v>42699</v>
      </c>
      <c r="I960" s="210">
        <v>42713</v>
      </c>
      <c r="J960" s="163">
        <v>16000000</v>
      </c>
      <c r="K960" s="163">
        <v>16000000</v>
      </c>
      <c r="L960" s="210"/>
      <c r="M960" s="163"/>
      <c r="N960" s="213">
        <v>0.4</v>
      </c>
      <c r="O960" s="301"/>
      <c r="P960" s="176">
        <v>2017</v>
      </c>
      <c r="Q960" s="177" t="s">
        <v>1130</v>
      </c>
      <c r="R960" s="132"/>
    </row>
    <row r="961" spans="1:22" ht="49.5" outlineLevel="1" x14ac:dyDescent="0.25">
      <c r="A961" s="1028"/>
      <c r="B961" s="1026"/>
      <c r="C961" s="294" t="s">
        <v>37</v>
      </c>
      <c r="D961" s="180">
        <v>495655.6</v>
      </c>
      <c r="E961" s="181" t="s">
        <v>540</v>
      </c>
      <c r="F961" s="181" t="s">
        <v>539</v>
      </c>
      <c r="G961" s="182">
        <v>493576.22</v>
      </c>
      <c r="H961" s="183">
        <v>42353</v>
      </c>
      <c r="I961" s="183">
        <v>42353</v>
      </c>
      <c r="J961" s="184">
        <v>495655.6</v>
      </c>
      <c r="K961" s="184">
        <v>495655.6</v>
      </c>
      <c r="L961" s="183"/>
      <c r="M961" s="184">
        <f>J961-D961</f>
        <v>0</v>
      </c>
      <c r="N961" s="202"/>
      <c r="O961" s="283" t="s">
        <v>716</v>
      </c>
      <c r="P961" s="176"/>
      <c r="Q961" s="177"/>
      <c r="R961" s="132"/>
    </row>
    <row r="962" spans="1:22" ht="17.25" outlineLevel="1" thickBot="1" x14ac:dyDescent="0.3">
      <c r="A962" s="1006" t="s">
        <v>628</v>
      </c>
      <c r="B962" s="1007"/>
      <c r="C962" s="364"/>
      <c r="D962" s="365">
        <f>SUM(D955:D961)</f>
        <v>44937298.520000003</v>
      </c>
      <c r="E962" s="239"/>
      <c r="F962" s="239"/>
      <c r="G962" s="366">
        <f>SUM(G955:G961)</f>
        <v>46300275.609999999</v>
      </c>
      <c r="H962" s="239"/>
      <c r="I962" s="321"/>
      <c r="J962" s="365">
        <f>SUM(J955:J961)</f>
        <v>39407298.520000003</v>
      </c>
      <c r="K962" s="365">
        <f>SUM(K955:K961)</f>
        <v>39407298.520000003</v>
      </c>
      <c r="L962" s="367"/>
      <c r="M962" s="365"/>
      <c r="N962" s="368">
        <f>AVERAGE(N955:N961)</f>
        <v>0.9</v>
      </c>
      <c r="O962" s="369"/>
      <c r="P962" s="176"/>
      <c r="Q962" s="177"/>
      <c r="R962" s="132"/>
    </row>
    <row r="963" spans="1:22" s="5" customFormat="1" ht="37.5" customHeight="1" x14ac:dyDescent="0.25">
      <c r="A963" s="1027">
        <v>9</v>
      </c>
      <c r="B963" s="1025" t="s">
        <v>221</v>
      </c>
      <c r="C963" s="197" t="s">
        <v>500</v>
      </c>
      <c r="D963" s="162">
        <v>8572791.9299999997</v>
      </c>
      <c r="E963" s="197" t="s">
        <v>846</v>
      </c>
      <c r="F963" s="197" t="s">
        <v>847</v>
      </c>
      <c r="G963" s="353">
        <v>9527000</v>
      </c>
      <c r="H963" s="161">
        <v>42556</v>
      </c>
      <c r="I963" s="161">
        <v>42565</v>
      </c>
      <c r="J963" s="162">
        <v>8572791.9299999997</v>
      </c>
      <c r="K963" s="162">
        <v>8572791.9299999997</v>
      </c>
      <c r="L963" s="161"/>
      <c r="M963" s="163">
        <f t="shared" ref="M963" si="98">J963-D963</f>
        <v>0</v>
      </c>
      <c r="N963" s="200">
        <v>1</v>
      </c>
      <c r="O963" s="370"/>
      <c r="P963" s="176"/>
      <c r="Q963" s="177"/>
      <c r="R963" s="132"/>
      <c r="S963" s="18"/>
      <c r="T963" s="18"/>
      <c r="U963" s="19"/>
      <c r="V963" s="19"/>
    </row>
    <row r="964" spans="1:22" ht="49.5" outlineLevel="1" x14ac:dyDescent="0.25">
      <c r="A964" s="1028"/>
      <c r="B964" s="1026"/>
      <c r="C964" s="356" t="s">
        <v>37</v>
      </c>
      <c r="D964" s="357">
        <v>94946.163</v>
      </c>
      <c r="E964" s="358" t="s">
        <v>563</v>
      </c>
      <c r="F964" s="358" t="s">
        <v>541</v>
      </c>
      <c r="G964" s="359">
        <v>94946.16</v>
      </c>
      <c r="H964" s="360">
        <v>42429</v>
      </c>
      <c r="I964" s="360">
        <v>42593</v>
      </c>
      <c r="J964" s="361">
        <v>94946.163</v>
      </c>
      <c r="K964" s="361">
        <v>94946.163</v>
      </c>
      <c r="L964" s="360"/>
      <c r="M964" s="361">
        <f>J964-D964</f>
        <v>0</v>
      </c>
      <c r="N964" s="362"/>
      <c r="O964" s="466" t="s">
        <v>716</v>
      </c>
      <c r="P964" s="176"/>
      <c r="Q964" s="177"/>
      <c r="R964" s="132"/>
    </row>
    <row r="965" spans="1:22" ht="17.25" outlineLevel="1" thickBot="1" x14ac:dyDescent="0.3">
      <c r="A965" s="1006" t="s">
        <v>628</v>
      </c>
      <c r="B965" s="1007"/>
      <c r="C965" s="364"/>
      <c r="D965" s="365">
        <f>SUM(D963:D964)</f>
        <v>8667738.0930000003</v>
      </c>
      <c r="E965" s="239"/>
      <c r="F965" s="239"/>
      <c r="G965" s="366">
        <f>SUM(G963:G964)</f>
        <v>9621946.1600000001</v>
      </c>
      <c r="H965" s="239"/>
      <c r="I965" s="321"/>
      <c r="J965" s="365">
        <f t="shared" ref="J965" si="99">SUM(J963:J964)</f>
        <v>8667738.0930000003</v>
      </c>
      <c r="K965" s="365">
        <f>SUM(K963:K964)</f>
        <v>8667738.0930000003</v>
      </c>
      <c r="L965" s="367"/>
      <c r="M965" s="365"/>
      <c r="N965" s="368">
        <f>AVERAGE(N963:N964)</f>
        <v>1</v>
      </c>
      <c r="O965" s="369"/>
      <c r="P965" s="176"/>
      <c r="Q965" s="177"/>
      <c r="R965" s="132"/>
    </row>
    <row r="966" spans="1:22" s="5" customFormat="1" ht="15" customHeight="1" x14ac:dyDescent="0.25">
      <c r="A966" s="1027">
        <v>10</v>
      </c>
      <c r="B966" s="1025" t="s">
        <v>31</v>
      </c>
      <c r="C966" s="197" t="s">
        <v>38</v>
      </c>
      <c r="D966" s="162">
        <v>2046945.34</v>
      </c>
      <c r="E966" s="984" t="s">
        <v>784</v>
      </c>
      <c r="F966" s="984" t="s">
        <v>785</v>
      </c>
      <c r="G966" s="353">
        <v>2008654.11</v>
      </c>
      <c r="H966" s="975">
        <v>42548</v>
      </c>
      <c r="I966" s="161">
        <v>42565</v>
      </c>
      <c r="J966" s="162">
        <v>2046945.34</v>
      </c>
      <c r="K966" s="162">
        <v>2046945.34</v>
      </c>
      <c r="L966" s="198"/>
      <c r="M966" s="199"/>
      <c r="N966" s="200">
        <v>1</v>
      </c>
      <c r="O966" s="370"/>
      <c r="P966" s="176"/>
      <c r="Q966" s="177"/>
      <c r="R966" s="168"/>
      <c r="S966" s="19"/>
      <c r="T966" s="19"/>
      <c r="U966" s="19"/>
      <c r="V966" s="19"/>
    </row>
    <row r="967" spans="1:22" ht="16.5" outlineLevel="1" x14ac:dyDescent="0.25">
      <c r="A967" s="1028"/>
      <c r="B967" s="1026"/>
      <c r="C967" s="253" t="s">
        <v>36</v>
      </c>
      <c r="D967" s="163">
        <v>581252.94999999995</v>
      </c>
      <c r="E967" s="985"/>
      <c r="F967" s="985"/>
      <c r="G967" s="354">
        <v>560732.36</v>
      </c>
      <c r="H967" s="985"/>
      <c r="I967" s="210">
        <v>42536</v>
      </c>
      <c r="J967" s="163">
        <v>581252.94999999995</v>
      </c>
      <c r="K967" s="163">
        <v>581252.94999999995</v>
      </c>
      <c r="L967" s="210"/>
      <c r="M967" s="163"/>
      <c r="N967" s="213">
        <v>1</v>
      </c>
      <c r="O967" s="301"/>
      <c r="P967" s="176"/>
      <c r="Q967" s="177"/>
      <c r="R967" s="132"/>
    </row>
    <row r="968" spans="1:22" ht="16.5" outlineLevel="1" x14ac:dyDescent="0.25">
      <c r="A968" s="1028"/>
      <c r="B968" s="1026"/>
      <c r="C968" s="253" t="s">
        <v>500</v>
      </c>
      <c r="D968" s="163">
        <v>5311262.66</v>
      </c>
      <c r="E968" s="986"/>
      <c r="F968" s="986"/>
      <c r="G968" s="354">
        <v>5130613.53</v>
      </c>
      <c r="H968" s="986"/>
      <c r="I968" s="210">
        <v>42565</v>
      </c>
      <c r="J968" s="163">
        <v>5311262.66</v>
      </c>
      <c r="K968" s="163">
        <v>5311262.66</v>
      </c>
      <c r="L968" s="210"/>
      <c r="M968" s="163"/>
      <c r="N968" s="213">
        <v>1</v>
      </c>
      <c r="O968" s="301"/>
      <c r="P968" s="176"/>
      <c r="Q968" s="177"/>
      <c r="R968" s="132"/>
    </row>
    <row r="969" spans="1:22" ht="33" outlineLevel="1" x14ac:dyDescent="0.25">
      <c r="A969" s="1028"/>
      <c r="B969" s="1026"/>
      <c r="C969" s="337" t="s">
        <v>501</v>
      </c>
      <c r="D969" s="303">
        <v>15384124.92</v>
      </c>
      <c r="E969" s="432" t="s">
        <v>1165</v>
      </c>
      <c r="F969" s="432" t="s">
        <v>876</v>
      </c>
      <c r="G969" s="459">
        <v>15384124.92</v>
      </c>
      <c r="H969" s="171">
        <v>42911</v>
      </c>
      <c r="I969" s="172"/>
      <c r="J969" s="173"/>
      <c r="K969" s="173">
        <v>1538413</v>
      </c>
      <c r="L969" s="171"/>
      <c r="M969" s="173"/>
      <c r="N969" s="174">
        <v>0.1</v>
      </c>
      <c r="O969" s="301"/>
      <c r="P969" s="176">
        <v>2017</v>
      </c>
      <c r="Q969" s="177"/>
      <c r="R969" s="132"/>
    </row>
    <row r="970" spans="1:22" ht="49.5" outlineLevel="1" x14ac:dyDescent="0.25">
      <c r="A970" s="1028"/>
      <c r="B970" s="1026"/>
      <c r="C970" s="294" t="s">
        <v>37</v>
      </c>
      <c r="D970" s="180">
        <v>69780.5</v>
      </c>
      <c r="E970" s="181" t="s">
        <v>540</v>
      </c>
      <c r="F970" s="181" t="s">
        <v>542</v>
      </c>
      <c r="G970" s="182">
        <v>301261.33</v>
      </c>
      <c r="H970" s="183">
        <v>42353</v>
      </c>
      <c r="I970" s="183">
        <v>42353</v>
      </c>
      <c r="J970" s="184">
        <v>69780.5</v>
      </c>
      <c r="K970" s="184">
        <v>69780.5</v>
      </c>
      <c r="L970" s="183"/>
      <c r="M970" s="184">
        <f>J970-D970</f>
        <v>0</v>
      </c>
      <c r="N970" s="202"/>
      <c r="O970" s="283" t="s">
        <v>716</v>
      </c>
      <c r="P970" s="176"/>
      <c r="Q970" s="177"/>
      <c r="R970" s="132"/>
    </row>
    <row r="971" spans="1:22" ht="17.25" outlineLevel="1" thickBot="1" x14ac:dyDescent="0.3">
      <c r="A971" s="1006" t="s">
        <v>628</v>
      </c>
      <c r="B971" s="1007"/>
      <c r="C971" s="364"/>
      <c r="D971" s="365">
        <f>SUM(D966:D970)</f>
        <v>23393366.370000001</v>
      </c>
      <c r="E971" s="239"/>
      <c r="F971" s="239"/>
      <c r="G971" s="366">
        <f>SUM(G966:G970)</f>
        <v>23385386.25</v>
      </c>
      <c r="H971" s="239"/>
      <c r="I971" s="321"/>
      <c r="J971" s="365">
        <f>SUM(J966:J970)</f>
        <v>8009241.4500000002</v>
      </c>
      <c r="K971" s="365">
        <f>SUM(K966:K970)</f>
        <v>9547654.4499999993</v>
      </c>
      <c r="L971" s="367"/>
      <c r="M971" s="365"/>
      <c r="N971" s="368">
        <f>AVERAGE(N966:N970)</f>
        <v>0.77500000000000002</v>
      </c>
      <c r="O971" s="369"/>
      <c r="P971" s="176"/>
      <c r="Q971" s="177"/>
      <c r="R971" s="132"/>
    </row>
    <row r="972" spans="1:22" s="5" customFormat="1" ht="33" x14ac:dyDescent="0.25">
      <c r="A972" s="1027">
        <v>11</v>
      </c>
      <c r="B972" s="1025" t="s">
        <v>216</v>
      </c>
      <c r="C972" s="371" t="s">
        <v>508</v>
      </c>
      <c r="D972" s="372">
        <v>4423639.46</v>
      </c>
      <c r="E972" s="220" t="s">
        <v>1272</v>
      </c>
      <c r="F972" s="220" t="s">
        <v>1273</v>
      </c>
      <c r="G972" s="463">
        <v>4432639.46</v>
      </c>
      <c r="H972" s="223">
        <v>42947</v>
      </c>
      <c r="I972" s="375"/>
      <c r="J972" s="221"/>
      <c r="K972" s="221"/>
      <c r="L972" s="223"/>
      <c r="M972" s="221"/>
      <c r="N972" s="376">
        <v>0</v>
      </c>
      <c r="O972" s="370"/>
      <c r="P972" s="176"/>
      <c r="Q972" s="177"/>
      <c r="R972" s="132"/>
      <c r="S972" s="18"/>
      <c r="T972" s="18"/>
      <c r="U972" s="19"/>
      <c r="V972" s="19"/>
    </row>
    <row r="973" spans="1:22" ht="49.5" outlineLevel="1" x14ac:dyDescent="0.25">
      <c r="A973" s="1028"/>
      <c r="B973" s="1026"/>
      <c r="C973" s="356" t="s">
        <v>37</v>
      </c>
      <c r="D973" s="357">
        <v>80363.38</v>
      </c>
      <c r="E973" s="358" t="s">
        <v>540</v>
      </c>
      <c r="F973" s="358" t="s">
        <v>539</v>
      </c>
      <c r="G973" s="359">
        <v>80363.38</v>
      </c>
      <c r="H973" s="360">
        <v>42353</v>
      </c>
      <c r="I973" s="360">
        <v>42640</v>
      </c>
      <c r="J973" s="361"/>
      <c r="K973" s="361"/>
      <c r="L973" s="360"/>
      <c r="M973" s="361"/>
      <c r="N973" s="362"/>
      <c r="O973" s="466" t="s">
        <v>716</v>
      </c>
      <c r="P973" s="176"/>
      <c r="Q973" s="177"/>
      <c r="R973" s="168"/>
      <c r="S973" s="19"/>
      <c r="T973" s="19"/>
    </row>
    <row r="974" spans="1:22" ht="17.25" outlineLevel="1" thickBot="1" x14ac:dyDescent="0.3">
      <c r="A974" s="1006" t="s">
        <v>628</v>
      </c>
      <c r="B974" s="1007"/>
      <c r="C974" s="364"/>
      <c r="D974" s="365">
        <f>SUM(D972:D973)</f>
        <v>4504002.84</v>
      </c>
      <c r="E974" s="239"/>
      <c r="F974" s="239"/>
      <c r="G974" s="366">
        <f>SUM(G972:G973)</f>
        <v>4513002.84</v>
      </c>
      <c r="H974" s="239"/>
      <c r="I974" s="321"/>
      <c r="J974" s="365">
        <f>SUM(J972:J973)</f>
        <v>0</v>
      </c>
      <c r="K974" s="365">
        <f>SUM(K972:K973)</f>
        <v>0</v>
      </c>
      <c r="L974" s="367"/>
      <c r="M974" s="365"/>
      <c r="N974" s="368">
        <f>AVERAGE(N972:N973)</f>
        <v>0</v>
      </c>
      <c r="O974" s="369"/>
      <c r="P974" s="176"/>
      <c r="Q974" s="177"/>
      <c r="R974" s="132"/>
    </row>
    <row r="975" spans="1:22" s="5" customFormat="1" ht="16.5" x14ac:dyDescent="0.25">
      <c r="A975" s="1027">
        <v>12</v>
      </c>
      <c r="B975" s="1025" t="s">
        <v>217</v>
      </c>
      <c r="C975" s="197" t="s">
        <v>38</v>
      </c>
      <c r="D975" s="162">
        <v>2377006.16</v>
      </c>
      <c r="E975" s="1019" t="s">
        <v>1192</v>
      </c>
      <c r="F975" s="1019" t="s">
        <v>876</v>
      </c>
      <c r="G975" s="656">
        <v>2377006.16</v>
      </c>
      <c r="H975" s="206">
        <v>42755</v>
      </c>
      <c r="I975" s="161">
        <v>42704</v>
      </c>
      <c r="J975" s="162">
        <v>2188794.98</v>
      </c>
      <c r="K975" s="162">
        <v>2188794.98</v>
      </c>
      <c r="L975" s="657">
        <v>42719</v>
      </c>
      <c r="M975" s="456"/>
      <c r="N975" s="658">
        <v>0.05</v>
      </c>
      <c r="O975" s="659"/>
      <c r="P975" s="176">
        <v>2017</v>
      </c>
      <c r="Q975" s="177"/>
      <c r="R975" s="132"/>
      <c r="S975" s="18"/>
      <c r="T975" s="18"/>
      <c r="U975" s="19"/>
      <c r="V975" s="19"/>
    </row>
    <row r="976" spans="1:22" ht="16.5" outlineLevel="1" x14ac:dyDescent="0.25">
      <c r="A976" s="1028"/>
      <c r="B976" s="1026"/>
      <c r="C976" s="337" t="s">
        <v>34</v>
      </c>
      <c r="D976" s="660">
        <v>13892250.92</v>
      </c>
      <c r="E976" s="1020"/>
      <c r="F976" s="1020"/>
      <c r="G976" s="459">
        <v>13892250.92</v>
      </c>
      <c r="H976" s="171">
        <v>42755</v>
      </c>
      <c r="I976" s="172"/>
      <c r="J976" s="173"/>
      <c r="K976" s="173"/>
      <c r="L976" s="171"/>
      <c r="M976" s="173"/>
      <c r="N976" s="174">
        <v>0.05</v>
      </c>
      <c r="O976" s="301"/>
      <c r="P976" s="176">
        <v>2017</v>
      </c>
      <c r="Q976" s="177"/>
      <c r="R976" s="168"/>
      <c r="S976" s="19"/>
      <c r="T976" s="19"/>
    </row>
    <row r="977" spans="1:22" ht="16.5" outlineLevel="1" x14ac:dyDescent="0.25">
      <c r="A977" s="1028"/>
      <c r="B977" s="1026"/>
      <c r="C977" s="337" t="s">
        <v>35</v>
      </c>
      <c r="D977" s="461">
        <v>1170659.1200000001</v>
      </c>
      <c r="E977" s="1020"/>
      <c r="F977" s="1020"/>
      <c r="G977" s="459">
        <v>1170659.1200000001</v>
      </c>
      <c r="H977" s="171">
        <v>42755</v>
      </c>
      <c r="I977" s="172"/>
      <c r="J977" s="173"/>
      <c r="K977" s="173"/>
      <c r="L977" s="171"/>
      <c r="M977" s="173"/>
      <c r="N977" s="174">
        <v>0.05</v>
      </c>
      <c r="O977" s="301"/>
      <c r="P977" s="176">
        <v>2017</v>
      </c>
      <c r="Q977" s="177"/>
      <c r="R977" s="132"/>
    </row>
    <row r="978" spans="1:22" ht="16.5" outlineLevel="1" x14ac:dyDescent="0.25">
      <c r="A978" s="1028"/>
      <c r="B978" s="1026"/>
      <c r="C978" s="337" t="s">
        <v>36</v>
      </c>
      <c r="D978" s="173">
        <v>722931.72</v>
      </c>
      <c r="E978" s="1020"/>
      <c r="F978" s="1020"/>
      <c r="G978" s="459">
        <v>722931.72</v>
      </c>
      <c r="H978" s="179">
        <v>42755</v>
      </c>
      <c r="I978" s="172"/>
      <c r="J978" s="173"/>
      <c r="K978" s="173"/>
      <c r="L978" s="171"/>
      <c r="M978" s="173"/>
      <c r="N978" s="174">
        <v>0.05</v>
      </c>
      <c r="O978" s="301"/>
      <c r="P978" s="176">
        <v>2017</v>
      </c>
      <c r="Q978" s="177"/>
      <c r="R978" s="132"/>
    </row>
    <row r="979" spans="1:22" ht="16.5" outlineLevel="1" x14ac:dyDescent="0.25">
      <c r="A979" s="1028"/>
      <c r="B979" s="1026"/>
      <c r="C979" s="337" t="s">
        <v>500</v>
      </c>
      <c r="D979" s="303">
        <v>6068905.2000000002</v>
      </c>
      <c r="E979" s="1020"/>
      <c r="F979" s="1020"/>
      <c r="G979" s="661">
        <v>6068905.2000000002</v>
      </c>
      <c r="H979" s="171">
        <v>42912</v>
      </c>
      <c r="I979" s="172"/>
      <c r="J979" s="173"/>
      <c r="K979" s="173"/>
      <c r="L979" s="171"/>
      <c r="M979" s="173"/>
      <c r="N979" s="174">
        <v>0.05</v>
      </c>
      <c r="O979" s="301"/>
      <c r="P979" s="176">
        <v>2017</v>
      </c>
      <c r="Q979" s="177"/>
      <c r="R979" s="168"/>
      <c r="S979" s="19"/>
      <c r="T979" s="19"/>
    </row>
    <row r="980" spans="1:22" ht="16.5" outlineLevel="1" x14ac:dyDescent="0.25">
      <c r="A980" s="1028"/>
      <c r="B980" s="1026"/>
      <c r="C980" s="337" t="s">
        <v>501</v>
      </c>
      <c r="D980" s="303">
        <v>13996657.32</v>
      </c>
      <c r="E980" s="1021"/>
      <c r="F980" s="1021"/>
      <c r="G980" s="459">
        <v>13996657.32</v>
      </c>
      <c r="H980" s="171">
        <v>42912</v>
      </c>
      <c r="I980" s="172"/>
      <c r="J980" s="173"/>
      <c r="K980" s="173">
        <v>3585140</v>
      </c>
      <c r="L980" s="171"/>
      <c r="M980" s="173"/>
      <c r="N980" s="174">
        <v>0.05</v>
      </c>
      <c r="O980" s="301"/>
      <c r="P980" s="176">
        <v>2017</v>
      </c>
      <c r="Q980" s="177"/>
      <c r="R980" s="132"/>
    </row>
    <row r="981" spans="1:22" ht="49.5" outlineLevel="1" x14ac:dyDescent="0.25">
      <c r="A981" s="1028"/>
      <c r="B981" s="1026"/>
      <c r="C981" s="294" t="s">
        <v>37</v>
      </c>
      <c r="D981" s="180">
        <v>341569.5</v>
      </c>
      <c r="E981" s="181" t="s">
        <v>540</v>
      </c>
      <c r="F981" s="181" t="s">
        <v>539</v>
      </c>
      <c r="G981" s="182">
        <v>410727.91</v>
      </c>
      <c r="H981" s="183">
        <v>42353</v>
      </c>
      <c r="I981" s="183">
        <v>42353</v>
      </c>
      <c r="J981" s="184">
        <v>341569.5</v>
      </c>
      <c r="K981" s="184">
        <v>341569.5</v>
      </c>
      <c r="L981" s="183"/>
      <c r="M981" s="184">
        <f>J981-D981</f>
        <v>0</v>
      </c>
      <c r="N981" s="202"/>
      <c r="O981" s="283" t="s">
        <v>716</v>
      </c>
      <c r="P981" s="176"/>
      <c r="Q981" s="177"/>
      <c r="R981" s="132"/>
    </row>
    <row r="982" spans="1:22" ht="17.25" outlineLevel="1" thickBot="1" x14ac:dyDescent="0.3">
      <c r="A982" s="1006" t="s">
        <v>628</v>
      </c>
      <c r="B982" s="1007"/>
      <c r="C982" s="364"/>
      <c r="D982" s="365">
        <f>SUM(D975:D981)</f>
        <v>38569979.939999998</v>
      </c>
      <c r="E982" s="188"/>
      <c r="F982" s="188"/>
      <c r="G982" s="366">
        <f>SUM(G975:G981)</f>
        <v>38639138.349999994</v>
      </c>
      <c r="H982" s="188"/>
      <c r="I982" s="190"/>
      <c r="J982" s="365">
        <f>SUM(J975:J981)</f>
        <v>2530364.48</v>
      </c>
      <c r="K982" s="365">
        <f>SUM(K975:K981)</f>
        <v>6115504.4800000004</v>
      </c>
      <c r="L982" s="367"/>
      <c r="M982" s="365"/>
      <c r="N982" s="368">
        <f>AVERAGE(N975:N981)</f>
        <v>4.9999999999999996E-2</v>
      </c>
      <c r="O982" s="369"/>
      <c r="P982" s="176"/>
      <c r="Q982" s="177"/>
      <c r="R982" s="168"/>
      <c r="S982" s="19"/>
      <c r="T982" s="19"/>
    </row>
    <row r="983" spans="1:22" s="5" customFormat="1" ht="37.5" customHeight="1" x14ac:dyDescent="0.25">
      <c r="A983" s="1062">
        <v>13</v>
      </c>
      <c r="B983" s="1003" t="s">
        <v>218</v>
      </c>
      <c r="C983" s="273" t="s">
        <v>34</v>
      </c>
      <c r="D983" s="498">
        <v>7324823.5899999999</v>
      </c>
      <c r="E983" s="273" t="s">
        <v>788</v>
      </c>
      <c r="F983" s="273" t="s">
        <v>789</v>
      </c>
      <c r="G983" s="486">
        <v>5478719.6299999999</v>
      </c>
      <c r="H983" s="212">
        <v>42581</v>
      </c>
      <c r="I983" s="212">
        <v>42502</v>
      </c>
      <c r="J983" s="275">
        <v>5806486.2400000002</v>
      </c>
      <c r="K983" s="275">
        <v>5806486.2400000002</v>
      </c>
      <c r="L983" s="212"/>
      <c r="M983" s="275">
        <f t="shared" ref="M983:M986" si="100">J983-D983</f>
        <v>-1518337.3499999996</v>
      </c>
      <c r="N983" s="207">
        <v>1</v>
      </c>
      <c r="O983" s="236"/>
      <c r="P983" s="176"/>
      <c r="Q983" s="177"/>
      <c r="R983" s="132"/>
      <c r="S983" s="18"/>
      <c r="T983" s="18"/>
      <c r="U983" s="19"/>
      <c r="V983" s="19"/>
    </row>
    <row r="984" spans="1:22" ht="57" customHeight="1" outlineLevel="1" x14ac:dyDescent="0.25">
      <c r="A984" s="1028"/>
      <c r="B984" s="1139"/>
      <c r="C984" s="1001" t="s">
        <v>35</v>
      </c>
      <c r="D984" s="993">
        <v>1657104.66</v>
      </c>
      <c r="E984" s="273" t="s">
        <v>909</v>
      </c>
      <c r="F984" s="273" t="s">
        <v>911</v>
      </c>
      <c r="G984" s="354">
        <v>1509128.96</v>
      </c>
      <c r="H984" s="212">
        <v>42581</v>
      </c>
      <c r="I984" s="210">
        <v>42536</v>
      </c>
      <c r="J984" s="163">
        <v>1657104.66</v>
      </c>
      <c r="K984" s="163">
        <v>1657104.66</v>
      </c>
      <c r="L984" s="210"/>
      <c r="M984" s="163">
        <f t="shared" si="100"/>
        <v>0</v>
      </c>
      <c r="N984" s="213">
        <v>1</v>
      </c>
      <c r="O984" s="625"/>
      <c r="P984" s="176"/>
      <c r="Q984" s="177"/>
      <c r="R984" s="132"/>
    </row>
    <row r="985" spans="1:22" ht="57" customHeight="1" outlineLevel="1" x14ac:dyDescent="0.25">
      <c r="A985" s="1028"/>
      <c r="B985" s="1139"/>
      <c r="C985" s="986"/>
      <c r="D985" s="995"/>
      <c r="E985" s="273" t="s">
        <v>910</v>
      </c>
      <c r="F985" s="253" t="s">
        <v>912</v>
      </c>
      <c r="G985" s="354">
        <v>1755533.96</v>
      </c>
      <c r="H985" s="212">
        <v>42569</v>
      </c>
      <c r="I985" s="210">
        <v>42573</v>
      </c>
      <c r="J985" s="163">
        <v>1518337.35</v>
      </c>
      <c r="K985" s="163">
        <v>1518337.35</v>
      </c>
      <c r="L985" s="210"/>
      <c r="M985" s="163"/>
      <c r="N985" s="213">
        <v>1</v>
      </c>
      <c r="O985" s="355"/>
      <c r="P985" s="176"/>
      <c r="Q985" s="177"/>
      <c r="R985" s="132"/>
    </row>
    <row r="986" spans="1:22" ht="33" customHeight="1" outlineLevel="1" x14ac:dyDescent="0.25">
      <c r="A986" s="1028"/>
      <c r="B986" s="1139"/>
      <c r="C986" s="253" t="s">
        <v>36</v>
      </c>
      <c r="D986" s="163">
        <v>587259.41</v>
      </c>
      <c r="E986" s="273" t="s">
        <v>788</v>
      </c>
      <c r="F986" s="273" t="s">
        <v>789</v>
      </c>
      <c r="G986" s="354">
        <v>534797.99</v>
      </c>
      <c r="H986" s="212">
        <v>42581</v>
      </c>
      <c r="I986" s="210">
        <v>42536</v>
      </c>
      <c r="J986" s="163">
        <v>587259.41</v>
      </c>
      <c r="K986" s="163">
        <v>587259.41</v>
      </c>
      <c r="L986" s="210"/>
      <c r="M986" s="163">
        <f t="shared" si="100"/>
        <v>0</v>
      </c>
      <c r="N986" s="213">
        <v>1</v>
      </c>
      <c r="O986" s="625"/>
      <c r="P986" s="176"/>
      <c r="Q986" s="177"/>
      <c r="R986" s="168"/>
      <c r="S986" s="19"/>
      <c r="T986" s="19"/>
    </row>
    <row r="987" spans="1:22" ht="49.5" outlineLevel="1" x14ac:dyDescent="0.25">
      <c r="A987" s="1028"/>
      <c r="B987" s="1139"/>
      <c r="C987" s="294" t="s">
        <v>37</v>
      </c>
      <c r="D987" s="180">
        <v>245921.62</v>
      </c>
      <c r="E987" s="181" t="s">
        <v>540</v>
      </c>
      <c r="F987" s="181" t="s">
        <v>539</v>
      </c>
      <c r="G987" s="182">
        <v>244889.92</v>
      </c>
      <c r="H987" s="183">
        <v>42353</v>
      </c>
      <c r="I987" s="183">
        <v>42353</v>
      </c>
      <c r="J987" s="184">
        <v>245921.62</v>
      </c>
      <c r="K987" s="184">
        <v>245921.62</v>
      </c>
      <c r="L987" s="183"/>
      <c r="M987" s="184">
        <f>J987-D987</f>
        <v>0</v>
      </c>
      <c r="N987" s="202"/>
      <c r="O987" s="283" t="s">
        <v>716</v>
      </c>
      <c r="P987" s="176"/>
      <c r="Q987" s="177"/>
      <c r="R987" s="132"/>
    </row>
    <row r="988" spans="1:22" ht="17.25" outlineLevel="1" thickBot="1" x14ac:dyDescent="0.3">
      <c r="A988" s="1006" t="s">
        <v>628</v>
      </c>
      <c r="B988" s="1007"/>
      <c r="C988" s="364"/>
      <c r="D988" s="365">
        <f>SUM(D983:D987)</f>
        <v>9815109.2799999993</v>
      </c>
      <c r="E988" s="239"/>
      <c r="F988" s="239"/>
      <c r="G988" s="366">
        <f>SUM(G983:G987)</f>
        <v>9523070.4600000009</v>
      </c>
      <c r="H988" s="239"/>
      <c r="I988" s="321"/>
      <c r="J988" s="365">
        <f>SUM(J983:J987)</f>
        <v>9815109.2799999993</v>
      </c>
      <c r="K988" s="365">
        <f>SUM(K983:K987)</f>
        <v>9815109.2799999993</v>
      </c>
      <c r="L988" s="367"/>
      <c r="M988" s="365"/>
      <c r="N988" s="368">
        <f>AVERAGE(N983:N986)</f>
        <v>1</v>
      </c>
      <c r="O988" s="369"/>
      <c r="P988" s="176"/>
      <c r="Q988" s="177"/>
      <c r="R988" s="132"/>
    </row>
    <row r="989" spans="1:22" s="5" customFormat="1" ht="35.25" customHeight="1" x14ac:dyDescent="0.25">
      <c r="A989" s="1027">
        <v>14</v>
      </c>
      <c r="B989" s="1138" t="s">
        <v>219</v>
      </c>
      <c r="C989" s="197" t="s">
        <v>34</v>
      </c>
      <c r="D989" s="162">
        <v>5106981.46</v>
      </c>
      <c r="E989" s="197" t="s">
        <v>788</v>
      </c>
      <c r="F989" s="197" t="s">
        <v>789</v>
      </c>
      <c r="G989" s="353">
        <v>3707929.57</v>
      </c>
      <c r="H989" s="161">
        <v>42581</v>
      </c>
      <c r="I989" s="161">
        <v>42502</v>
      </c>
      <c r="J989" s="162">
        <v>3857239.1399999997</v>
      </c>
      <c r="K989" s="162">
        <v>3857239.1399999997</v>
      </c>
      <c r="L989" s="161"/>
      <c r="M989" s="163">
        <f t="shared" ref="M989:M990" si="101">J989-D989</f>
        <v>-1249742.3200000003</v>
      </c>
      <c r="N989" s="200">
        <v>1</v>
      </c>
      <c r="O989" s="382"/>
      <c r="P989" s="176"/>
      <c r="Q989" s="177"/>
      <c r="R989" s="132"/>
      <c r="S989" s="18"/>
      <c r="T989" s="18"/>
      <c r="U989" s="19"/>
      <c r="V989" s="19"/>
    </row>
    <row r="990" spans="1:22" ht="66.75" customHeight="1" outlineLevel="1" x14ac:dyDescent="0.25">
      <c r="A990" s="1028"/>
      <c r="B990" s="1139"/>
      <c r="C990" s="1001" t="s">
        <v>35</v>
      </c>
      <c r="D990" s="994">
        <v>1423022.47</v>
      </c>
      <c r="E990" s="273" t="s">
        <v>909</v>
      </c>
      <c r="F990" s="273" t="s">
        <v>911</v>
      </c>
      <c r="G990" s="486">
        <v>1295943.28</v>
      </c>
      <c r="H990" s="212">
        <v>42581</v>
      </c>
      <c r="I990" s="210">
        <v>42536</v>
      </c>
      <c r="J990" s="163">
        <v>1423022.4700000002</v>
      </c>
      <c r="K990" s="163">
        <v>1423022.4700000002</v>
      </c>
      <c r="L990" s="210"/>
      <c r="M990" s="163">
        <f t="shared" si="101"/>
        <v>0</v>
      </c>
      <c r="N990" s="213">
        <v>1</v>
      </c>
      <c r="O990" s="625"/>
      <c r="P990" s="176"/>
      <c r="Q990" s="177"/>
      <c r="R990" s="132"/>
    </row>
    <row r="991" spans="1:22" ht="66.75" customHeight="1" outlineLevel="1" x14ac:dyDescent="0.25">
      <c r="A991" s="1028"/>
      <c r="B991" s="1139"/>
      <c r="C991" s="986"/>
      <c r="D991" s="995"/>
      <c r="E991" s="273" t="s">
        <v>910</v>
      </c>
      <c r="F991" s="253" t="s">
        <v>912</v>
      </c>
      <c r="G991" s="354">
        <v>1444466.04</v>
      </c>
      <c r="H991" s="212">
        <v>42569</v>
      </c>
      <c r="I991" s="210">
        <v>42573</v>
      </c>
      <c r="J991" s="163">
        <v>1249742.32</v>
      </c>
      <c r="K991" s="163">
        <v>1249742.32</v>
      </c>
      <c r="L991" s="210"/>
      <c r="M991" s="163"/>
      <c r="N991" s="207">
        <v>1</v>
      </c>
      <c r="O991" s="662"/>
      <c r="P991" s="176"/>
      <c r="Q991" s="177"/>
      <c r="R991" s="132"/>
    </row>
    <row r="992" spans="1:22" ht="38.25" customHeight="1" outlineLevel="1" x14ac:dyDescent="0.25">
      <c r="A992" s="1028"/>
      <c r="B992" s="1139"/>
      <c r="C992" s="253" t="s">
        <v>36</v>
      </c>
      <c r="D992" s="163">
        <v>559481.35</v>
      </c>
      <c r="E992" s="273" t="s">
        <v>788</v>
      </c>
      <c r="F992" s="273" t="s">
        <v>789</v>
      </c>
      <c r="G992" s="354">
        <v>509496.47</v>
      </c>
      <c r="H992" s="212">
        <v>42581</v>
      </c>
      <c r="I992" s="210">
        <v>42536</v>
      </c>
      <c r="J992" s="163">
        <v>559481.35</v>
      </c>
      <c r="K992" s="163">
        <v>559481.35</v>
      </c>
      <c r="L992" s="210"/>
      <c r="M992" s="163">
        <f t="shared" ref="M992" si="102">J992-D992</f>
        <v>0</v>
      </c>
      <c r="N992" s="213">
        <v>1</v>
      </c>
      <c r="O992" s="625"/>
      <c r="P992" s="176"/>
      <c r="Q992" s="177"/>
      <c r="R992" s="132"/>
    </row>
    <row r="993" spans="1:22" ht="49.5" outlineLevel="1" x14ac:dyDescent="0.25">
      <c r="A993" s="1028"/>
      <c r="B993" s="1139"/>
      <c r="C993" s="294" t="s">
        <v>37</v>
      </c>
      <c r="D993" s="180">
        <v>245921.62</v>
      </c>
      <c r="E993" s="181" t="s">
        <v>540</v>
      </c>
      <c r="F993" s="181" t="s">
        <v>539</v>
      </c>
      <c r="G993" s="182">
        <v>244889.92</v>
      </c>
      <c r="H993" s="183">
        <v>42353</v>
      </c>
      <c r="I993" s="183">
        <v>42353</v>
      </c>
      <c r="J993" s="184">
        <v>245921.62</v>
      </c>
      <c r="K993" s="184">
        <v>245921.62</v>
      </c>
      <c r="L993" s="183"/>
      <c r="M993" s="184">
        <f>J993-D993</f>
        <v>0</v>
      </c>
      <c r="N993" s="202"/>
      <c r="O993" s="283" t="s">
        <v>716</v>
      </c>
      <c r="P993" s="176"/>
      <c r="Q993" s="177"/>
      <c r="R993" s="168"/>
      <c r="S993" s="19"/>
      <c r="T993" s="19"/>
    </row>
    <row r="994" spans="1:22" ht="17.25" outlineLevel="1" thickBot="1" x14ac:dyDescent="0.3">
      <c r="A994" s="1006" t="s">
        <v>628</v>
      </c>
      <c r="B994" s="1007"/>
      <c r="C994" s="364"/>
      <c r="D994" s="365">
        <f>SUM(D989:D993)</f>
        <v>7335406.8999999994</v>
      </c>
      <c r="E994" s="239"/>
      <c r="F994" s="239"/>
      <c r="G994" s="366">
        <f>SUM(G989:G993)</f>
        <v>7202725.2799999993</v>
      </c>
      <c r="H994" s="239"/>
      <c r="I994" s="321"/>
      <c r="J994" s="365">
        <f>SUM(J989:J993)</f>
        <v>7335406.8999999994</v>
      </c>
      <c r="K994" s="365">
        <f>SUM(K989:K993)</f>
        <v>7335406.8999999994</v>
      </c>
      <c r="L994" s="367"/>
      <c r="M994" s="365"/>
      <c r="N994" s="368">
        <f>AVERAGE(N989:N992)</f>
        <v>1</v>
      </c>
      <c r="O994" s="369"/>
      <c r="P994" s="176"/>
      <c r="Q994" s="177"/>
      <c r="R994" s="132"/>
    </row>
    <row r="995" spans="1:22" s="5" customFormat="1" ht="49.5" x14ac:dyDescent="0.25">
      <c r="A995" s="1027">
        <v>15</v>
      </c>
      <c r="B995" s="1138" t="s">
        <v>220</v>
      </c>
      <c r="C995" s="197" t="s">
        <v>38</v>
      </c>
      <c r="D995" s="163">
        <v>607621.78</v>
      </c>
      <c r="E995" s="509" t="s">
        <v>1050</v>
      </c>
      <c r="F995" s="197" t="s">
        <v>789</v>
      </c>
      <c r="G995" s="353">
        <v>606847.56000000006</v>
      </c>
      <c r="H995" s="161">
        <v>42623</v>
      </c>
      <c r="I995" s="206">
        <v>42640</v>
      </c>
      <c r="J995" s="162">
        <v>607621.78</v>
      </c>
      <c r="K995" s="162">
        <v>607621.78</v>
      </c>
      <c r="L995" s="161"/>
      <c r="M995" s="162"/>
      <c r="N995" s="200">
        <v>1</v>
      </c>
      <c r="O995" s="370"/>
      <c r="P995" s="176"/>
      <c r="Q995" s="280" t="s">
        <v>1118</v>
      </c>
      <c r="R995" s="132"/>
      <c r="S995" s="18"/>
      <c r="T995" s="18"/>
      <c r="U995" s="19"/>
      <c r="V995" s="19"/>
    </row>
    <row r="996" spans="1:22" ht="49.5" outlineLevel="1" x14ac:dyDescent="0.25">
      <c r="A996" s="1028"/>
      <c r="B996" s="1139"/>
      <c r="C996" s="253" t="s">
        <v>34</v>
      </c>
      <c r="D996" s="163">
        <v>2903723.65</v>
      </c>
      <c r="E996" s="253" t="s">
        <v>1050</v>
      </c>
      <c r="F996" s="253" t="s">
        <v>789</v>
      </c>
      <c r="G996" s="354">
        <v>3048758.12</v>
      </c>
      <c r="H996" s="210">
        <v>42620</v>
      </c>
      <c r="I996" s="210">
        <v>42640</v>
      </c>
      <c r="J996" s="163">
        <v>2903723.65</v>
      </c>
      <c r="K996" s="163">
        <v>2903723.65</v>
      </c>
      <c r="L996" s="210"/>
      <c r="M996" s="163"/>
      <c r="N996" s="213">
        <v>1</v>
      </c>
      <c r="O996" s="301"/>
      <c r="P996" s="176"/>
      <c r="Q996" s="280" t="s">
        <v>1118</v>
      </c>
      <c r="R996" s="132"/>
    </row>
    <row r="997" spans="1:22" ht="49.5" outlineLevel="1" x14ac:dyDescent="0.25">
      <c r="A997" s="1028"/>
      <c r="B997" s="1139"/>
      <c r="C997" s="253" t="s">
        <v>35</v>
      </c>
      <c r="D997" s="163">
        <v>706285.43</v>
      </c>
      <c r="E997" s="253" t="s">
        <v>1050</v>
      </c>
      <c r="F997" s="479" t="s">
        <v>789</v>
      </c>
      <c r="G997" s="354">
        <v>778094.87</v>
      </c>
      <c r="H997" s="210">
        <v>42616</v>
      </c>
      <c r="I997" s="210">
        <v>42640</v>
      </c>
      <c r="J997" s="163">
        <v>706285.43</v>
      </c>
      <c r="K997" s="163">
        <v>706285.43</v>
      </c>
      <c r="L997" s="210"/>
      <c r="M997" s="163"/>
      <c r="N997" s="213">
        <v>1</v>
      </c>
      <c r="O997" s="301"/>
      <c r="P997" s="176"/>
      <c r="Q997" s="280" t="s">
        <v>1118</v>
      </c>
      <c r="R997" s="132"/>
    </row>
    <row r="998" spans="1:22" ht="49.5" outlineLevel="1" x14ac:dyDescent="0.25">
      <c r="A998" s="1028"/>
      <c r="B998" s="1139"/>
      <c r="C998" s="253" t="s">
        <v>36</v>
      </c>
      <c r="D998" s="163">
        <v>314567.51</v>
      </c>
      <c r="E998" s="273" t="s">
        <v>1050</v>
      </c>
      <c r="F998" s="253" t="s">
        <v>789</v>
      </c>
      <c r="G998" s="354">
        <v>326299.45</v>
      </c>
      <c r="H998" s="210">
        <v>42617</v>
      </c>
      <c r="I998" s="212">
        <v>42640</v>
      </c>
      <c r="J998" s="163">
        <v>314567.51</v>
      </c>
      <c r="K998" s="163">
        <v>314567.51</v>
      </c>
      <c r="L998" s="210"/>
      <c r="M998" s="163"/>
      <c r="N998" s="213">
        <v>1</v>
      </c>
      <c r="O998" s="301"/>
      <c r="P998" s="176"/>
      <c r="Q998" s="280" t="s">
        <v>1118</v>
      </c>
      <c r="R998" s="132"/>
    </row>
    <row r="999" spans="1:22" ht="33" outlineLevel="1" x14ac:dyDescent="0.25">
      <c r="A999" s="1028"/>
      <c r="B999" s="1139"/>
      <c r="C999" s="253" t="s">
        <v>501</v>
      </c>
      <c r="D999" s="163">
        <v>3070000</v>
      </c>
      <c r="E999" s="253" t="s">
        <v>1110</v>
      </c>
      <c r="F999" s="253" t="s">
        <v>862</v>
      </c>
      <c r="G999" s="354">
        <v>3070000</v>
      </c>
      <c r="H999" s="210">
        <v>42689</v>
      </c>
      <c r="I999" s="210">
        <v>42704</v>
      </c>
      <c r="J999" s="163">
        <v>2967266.68</v>
      </c>
      <c r="K999" s="163">
        <v>2967266.68</v>
      </c>
      <c r="L999" s="210">
        <v>42724</v>
      </c>
      <c r="M999" s="163"/>
      <c r="N999" s="213">
        <v>0.95</v>
      </c>
      <c r="O999" s="301"/>
      <c r="P999" s="176">
        <v>2017</v>
      </c>
      <c r="Q999" s="177"/>
      <c r="R999" s="168"/>
      <c r="S999" s="19"/>
      <c r="T999" s="19"/>
    </row>
    <row r="1000" spans="1:22" ht="49.5" outlineLevel="1" x14ac:dyDescent="0.25">
      <c r="A1000" s="1028"/>
      <c r="B1000" s="1139"/>
      <c r="C1000" s="294" t="s">
        <v>37</v>
      </c>
      <c r="D1000" s="180">
        <v>254172.17</v>
      </c>
      <c r="E1000" s="181" t="s">
        <v>540</v>
      </c>
      <c r="F1000" s="181" t="s">
        <v>539</v>
      </c>
      <c r="G1000" s="182">
        <v>253105.85</v>
      </c>
      <c r="H1000" s="183">
        <v>42353</v>
      </c>
      <c r="I1000" s="183">
        <v>42353</v>
      </c>
      <c r="J1000" s="184">
        <v>254172.17</v>
      </c>
      <c r="K1000" s="184">
        <v>254172.17</v>
      </c>
      <c r="L1000" s="183"/>
      <c r="M1000" s="184">
        <f>J1000-D1000</f>
        <v>0</v>
      </c>
      <c r="N1000" s="202"/>
      <c r="O1000" s="283" t="s">
        <v>716</v>
      </c>
      <c r="P1000" s="176"/>
      <c r="Q1000" s="177"/>
      <c r="R1000" s="132"/>
    </row>
    <row r="1001" spans="1:22" ht="17.25" outlineLevel="1" thickBot="1" x14ac:dyDescent="0.3">
      <c r="A1001" s="1054" t="s">
        <v>628</v>
      </c>
      <c r="B1001" s="1055"/>
      <c r="C1001" s="663"/>
      <c r="D1001" s="214">
        <f>SUM(D995:D1000)</f>
        <v>7856370.5399999991</v>
      </c>
      <c r="E1001" s="247"/>
      <c r="F1001" s="247"/>
      <c r="G1001" s="216">
        <f>SUM(G995:G1000)</f>
        <v>8083105.8499999996</v>
      </c>
      <c r="H1001" s="308"/>
      <c r="I1001" s="308"/>
      <c r="J1001" s="542">
        <f>SUM(J995:J1000)</f>
        <v>7753637.2199999988</v>
      </c>
      <c r="K1001" s="542">
        <f>SUM(K995:K1000)</f>
        <v>7753637.2199999988</v>
      </c>
      <c r="L1001" s="664"/>
      <c r="M1001" s="542"/>
      <c r="N1001" s="249">
        <f>AVERAGE(N995:N1000)</f>
        <v>0.99</v>
      </c>
      <c r="O1001" s="287"/>
      <c r="P1001" s="176"/>
      <c r="Q1001" s="177"/>
      <c r="R1001" s="132"/>
    </row>
    <row r="1002" spans="1:22" ht="33" outlineLevel="1" x14ac:dyDescent="0.25">
      <c r="A1002" s="665">
        <v>16</v>
      </c>
      <c r="B1002" s="666" t="s">
        <v>1079</v>
      </c>
      <c r="C1002" s="667" t="s">
        <v>501</v>
      </c>
      <c r="D1002" s="668">
        <v>11962988.68</v>
      </c>
      <c r="E1002" s="509" t="s">
        <v>835</v>
      </c>
      <c r="F1002" s="509" t="s">
        <v>828</v>
      </c>
      <c r="G1002" s="669">
        <v>13363289</v>
      </c>
      <c r="H1002" s="206">
        <v>42289</v>
      </c>
      <c r="I1002" s="206">
        <v>42394</v>
      </c>
      <c r="J1002" s="487">
        <v>11962988.68</v>
      </c>
      <c r="K1002" s="487">
        <v>11962988.68</v>
      </c>
      <c r="L1002" s="206"/>
      <c r="M1002" s="162">
        <f t="shared" ref="M1002" si="103">J1002-D1002</f>
        <v>0</v>
      </c>
      <c r="N1002" s="649">
        <v>1</v>
      </c>
      <c r="O1002" s="670"/>
      <c r="P1002" s="176"/>
      <c r="Q1002" s="177"/>
      <c r="R1002" s="132"/>
    </row>
    <row r="1003" spans="1:22" ht="17.25" outlineLevel="1" thickBot="1" x14ac:dyDescent="0.3">
      <c r="A1003" s="1067" t="s">
        <v>628</v>
      </c>
      <c r="B1003" s="1068"/>
      <c r="C1003" s="671"/>
      <c r="D1003" s="187">
        <f>D1002</f>
        <v>11962988.68</v>
      </c>
      <c r="E1003" s="239"/>
      <c r="F1003" s="239"/>
      <c r="G1003" s="189">
        <f>G1002</f>
        <v>13363289</v>
      </c>
      <c r="H1003" s="309"/>
      <c r="I1003" s="309"/>
      <c r="J1003" s="191">
        <f>J1002</f>
        <v>11962988.68</v>
      </c>
      <c r="K1003" s="191">
        <f>K1002</f>
        <v>11962988.68</v>
      </c>
      <c r="L1003" s="192"/>
      <c r="M1003" s="191"/>
      <c r="N1003" s="193">
        <f>AVERAGE(N1002)</f>
        <v>1</v>
      </c>
      <c r="O1003" s="285"/>
      <c r="P1003" s="176"/>
      <c r="Q1003" s="177"/>
      <c r="R1003" s="132"/>
    </row>
    <row r="1004" spans="1:22" s="8" customFormat="1" ht="19.5" customHeight="1" outlineLevel="1" thickBot="1" x14ac:dyDescent="0.3">
      <c r="A1004" s="1158" t="s">
        <v>1097</v>
      </c>
      <c r="B1004" s="1159"/>
      <c r="C1004" s="1079"/>
      <c r="D1004" s="437">
        <v>1718488.85</v>
      </c>
      <c r="E1004" s="438"/>
      <c r="F1004" s="439"/>
      <c r="G1004" s="440">
        <f>SUM(G1005:G1011)</f>
        <v>1718488.8499999999</v>
      </c>
      <c r="H1004" s="441"/>
      <c r="I1004" s="442"/>
      <c r="J1004" s="437"/>
      <c r="K1004" s="641"/>
      <c r="L1004" s="672"/>
      <c r="M1004" s="324"/>
      <c r="N1004" s="331"/>
      <c r="O1004" s="332"/>
      <c r="P1004" s="176"/>
      <c r="Q1004" s="446"/>
      <c r="R1004" s="335"/>
      <c r="S1004" s="2"/>
      <c r="T1004" s="2"/>
      <c r="U1004" s="2"/>
      <c r="V1004" s="2"/>
    </row>
    <row r="1005" spans="1:22" s="8" customFormat="1" ht="28.5" customHeight="1" outlineLevel="1" x14ac:dyDescent="0.25">
      <c r="A1005" s="673"/>
      <c r="B1005" s="574" t="s">
        <v>1226</v>
      </c>
      <c r="C1005" s="674" t="s">
        <v>37</v>
      </c>
      <c r="D1005" s="575"/>
      <c r="E1005" s="997" t="s">
        <v>1233</v>
      </c>
      <c r="F1005" s="997" t="s">
        <v>537</v>
      </c>
      <c r="G1005" s="575">
        <v>224516.41</v>
      </c>
      <c r="H1005" s="980">
        <v>42760</v>
      </c>
      <c r="I1005" s="981"/>
      <c r="J1005" s="643"/>
      <c r="K1005" s="643"/>
      <c r="L1005" s="340"/>
      <c r="M1005" s="338"/>
      <c r="N1005" s="341"/>
      <c r="O1005" s="342"/>
      <c r="P1005" s="528"/>
      <c r="Q1005" s="446"/>
      <c r="R1005" s="335"/>
      <c r="S1005" s="2"/>
      <c r="T1005" s="2"/>
      <c r="U1005" s="2"/>
      <c r="V1005" s="2"/>
    </row>
    <row r="1006" spans="1:22" s="8" customFormat="1" ht="27" customHeight="1" outlineLevel="1" x14ac:dyDescent="0.25">
      <c r="A1006" s="336"/>
      <c r="B1006" s="527" t="s">
        <v>1227</v>
      </c>
      <c r="C1006" s="549" t="s">
        <v>37</v>
      </c>
      <c r="D1006" s="339"/>
      <c r="E1006" s="997"/>
      <c r="F1006" s="997"/>
      <c r="G1006" s="339">
        <v>97591.73</v>
      </c>
      <c r="H1006" s="980"/>
      <c r="I1006" s="982"/>
      <c r="J1006" s="338"/>
      <c r="K1006" s="338"/>
      <c r="L1006" s="340"/>
      <c r="M1006" s="338"/>
      <c r="N1006" s="341"/>
      <c r="O1006" s="342"/>
      <c r="P1006" s="528"/>
      <c r="Q1006" s="446"/>
      <c r="R1006" s="335"/>
      <c r="S1006" s="2"/>
      <c r="T1006" s="2"/>
      <c r="U1006" s="2"/>
      <c r="V1006" s="2"/>
    </row>
    <row r="1007" spans="1:22" s="8" customFormat="1" ht="27" customHeight="1" outlineLevel="1" x14ac:dyDescent="0.25">
      <c r="A1007" s="336"/>
      <c r="B1007" s="527" t="s">
        <v>1228</v>
      </c>
      <c r="C1007" s="549" t="s">
        <v>37</v>
      </c>
      <c r="D1007" s="339"/>
      <c r="E1007" s="997"/>
      <c r="F1007" s="997"/>
      <c r="G1007" s="339">
        <v>415395.09</v>
      </c>
      <c r="H1007" s="980"/>
      <c r="I1007" s="982"/>
      <c r="J1007" s="338"/>
      <c r="K1007" s="338"/>
      <c r="L1007" s="340"/>
      <c r="M1007" s="338"/>
      <c r="N1007" s="341"/>
      <c r="O1007" s="342"/>
      <c r="P1007" s="528"/>
      <c r="Q1007" s="446"/>
      <c r="R1007" s="335"/>
      <c r="S1007" s="2"/>
      <c r="T1007" s="2"/>
      <c r="U1007" s="2"/>
      <c r="V1007" s="2"/>
    </row>
    <row r="1008" spans="1:22" s="8" customFormat="1" ht="30" customHeight="1" outlineLevel="1" x14ac:dyDescent="0.25">
      <c r="A1008" s="336"/>
      <c r="B1008" s="527" t="s">
        <v>1229</v>
      </c>
      <c r="C1008" s="549" t="s">
        <v>37</v>
      </c>
      <c r="D1008" s="339"/>
      <c r="E1008" s="997"/>
      <c r="F1008" s="997"/>
      <c r="G1008" s="339">
        <v>371473.93</v>
      </c>
      <c r="H1008" s="980"/>
      <c r="I1008" s="982"/>
      <c r="J1008" s="338"/>
      <c r="K1008" s="338"/>
      <c r="L1008" s="340"/>
      <c r="M1008" s="338"/>
      <c r="N1008" s="341"/>
      <c r="O1008" s="342"/>
      <c r="P1008" s="528"/>
      <c r="Q1008" s="446"/>
      <c r="R1008" s="335"/>
      <c r="S1008" s="2"/>
      <c r="T1008" s="2"/>
      <c r="U1008" s="2"/>
      <c r="V1008" s="2"/>
    </row>
    <row r="1009" spans="1:22" s="8" customFormat="1" ht="27" customHeight="1" outlineLevel="1" x14ac:dyDescent="0.25">
      <c r="A1009" s="336"/>
      <c r="B1009" s="527" t="s">
        <v>1230</v>
      </c>
      <c r="C1009" s="549" t="s">
        <v>37</v>
      </c>
      <c r="D1009" s="339"/>
      <c r="E1009" s="997"/>
      <c r="F1009" s="997"/>
      <c r="G1009" s="339">
        <v>86753.4</v>
      </c>
      <c r="H1009" s="980"/>
      <c r="I1009" s="982"/>
      <c r="J1009" s="338"/>
      <c r="K1009" s="338"/>
      <c r="L1009" s="340"/>
      <c r="M1009" s="338"/>
      <c r="N1009" s="341"/>
      <c r="O1009" s="342"/>
      <c r="P1009" s="528"/>
      <c r="Q1009" s="446"/>
      <c r="R1009" s="335"/>
      <c r="S1009" s="2"/>
      <c r="T1009" s="2"/>
      <c r="U1009" s="2"/>
      <c r="V1009" s="2"/>
    </row>
    <row r="1010" spans="1:22" s="8" customFormat="1" ht="28.5" customHeight="1" outlineLevel="1" x14ac:dyDescent="0.25">
      <c r="A1010" s="336"/>
      <c r="B1010" s="527" t="s">
        <v>1231</v>
      </c>
      <c r="C1010" s="549" t="s">
        <v>37</v>
      </c>
      <c r="D1010" s="339"/>
      <c r="E1010" s="997"/>
      <c r="F1010" s="997"/>
      <c r="G1010" s="339">
        <v>269892.83</v>
      </c>
      <c r="H1010" s="980"/>
      <c r="I1010" s="982"/>
      <c r="J1010" s="338"/>
      <c r="K1010" s="338"/>
      <c r="L1010" s="340"/>
      <c r="M1010" s="338"/>
      <c r="N1010" s="341"/>
      <c r="O1010" s="342"/>
      <c r="P1010" s="528"/>
      <c r="Q1010" s="446"/>
      <c r="R1010" s="335"/>
      <c r="S1010" s="2"/>
      <c r="T1010" s="2"/>
      <c r="U1010" s="2"/>
      <c r="V1010" s="2"/>
    </row>
    <row r="1011" spans="1:22" s="8" customFormat="1" ht="28.5" customHeight="1" outlineLevel="1" thickBot="1" x14ac:dyDescent="0.3">
      <c r="A1011" s="605"/>
      <c r="B1011" s="582" t="s">
        <v>1232</v>
      </c>
      <c r="C1011" s="286" t="s">
        <v>37</v>
      </c>
      <c r="D1011" s="585"/>
      <c r="E1011" s="997"/>
      <c r="F1011" s="997"/>
      <c r="G1011" s="585">
        <v>252865.46</v>
      </c>
      <c r="H1011" s="980"/>
      <c r="I1011" s="983"/>
      <c r="J1011" s="577"/>
      <c r="K1011" s="577"/>
      <c r="L1011" s="340"/>
      <c r="M1011" s="338"/>
      <c r="N1011" s="341"/>
      <c r="O1011" s="342"/>
      <c r="P1011" s="528"/>
      <c r="Q1011" s="446"/>
      <c r="R1011" s="335"/>
      <c r="S1011" s="2"/>
      <c r="T1011" s="2"/>
      <c r="U1011" s="2"/>
      <c r="V1011" s="2"/>
    </row>
    <row r="1012" spans="1:22" ht="17.25" outlineLevel="1" thickBot="1" x14ac:dyDescent="0.3">
      <c r="A1012" s="1056" t="s">
        <v>629</v>
      </c>
      <c r="B1012" s="1057"/>
      <c r="C1012" s="150"/>
      <c r="D1012" s="149">
        <f>SUM(D1003,D994,D988,D982,D974,D971,D965,D962,D954,D947,D939,D931,D924,D921,D918,D1001,D1004)</f>
        <v>236205741.02419999</v>
      </c>
      <c r="E1012" s="150"/>
      <c r="F1012" s="150"/>
      <c r="G1012" s="149">
        <f>SUM(G1003,G994,G988,G982,G974,G971,G965,G962,G954,G947,G939,G931,G924,G921,G918,G1001,G1004)</f>
        <v>237041840.91638374</v>
      </c>
      <c r="H1012" s="150"/>
      <c r="I1012" s="449"/>
      <c r="J1012" s="149">
        <f>SUM(J1003,J994,J988,J982,J974,J971,J965,J962,J954,J947,J939,J931,J924,J921,J918,J1001)</f>
        <v>153974708.6252</v>
      </c>
      <c r="K1012" s="646">
        <f>SUM(K1003,K994,K988,K982,K974,K971,K965,K962,K954,K947,K939,K931,K924,K921,K918,K1001)</f>
        <v>141555608.6252</v>
      </c>
      <c r="L1012" s="675"/>
      <c r="M1012" s="426"/>
      <c r="N1012" s="427">
        <f>AVERAGE(N1003,N1001,N994,N988,N982,N974,N971,N965,N962,N954,N947,N939,N931,N924,N921,N918)</f>
        <v>0.76786458333333329</v>
      </c>
      <c r="O1012" s="428"/>
      <c r="P1012" s="176"/>
      <c r="Q1012" s="177"/>
      <c r="R1012" s="132"/>
    </row>
    <row r="1013" spans="1:22" s="5" customFormat="1" ht="24.75" customHeight="1" thickBot="1" x14ac:dyDescent="0.3">
      <c r="A1013" s="1038" t="s">
        <v>641</v>
      </c>
      <c r="B1013" s="1039"/>
      <c r="C1013" s="1039"/>
      <c r="D1013" s="1039"/>
      <c r="E1013" s="1039"/>
      <c r="F1013" s="1039"/>
      <c r="G1013" s="1039"/>
      <c r="H1013" s="1039"/>
      <c r="I1013" s="1039"/>
      <c r="J1013" s="1039"/>
      <c r="K1013" s="1039"/>
      <c r="L1013" s="1039"/>
      <c r="M1013" s="1039"/>
      <c r="N1013" s="1039"/>
      <c r="O1013" s="1039"/>
      <c r="P1013" s="176"/>
      <c r="Q1013" s="177"/>
      <c r="R1013" s="168"/>
      <c r="S1013" s="19"/>
      <c r="T1013" s="19"/>
      <c r="U1013" s="19"/>
      <c r="V1013" s="19"/>
    </row>
    <row r="1014" spans="1:22" s="6" customFormat="1" ht="33" x14ac:dyDescent="0.25">
      <c r="A1014" s="1012">
        <v>1</v>
      </c>
      <c r="B1014" s="1004" t="s">
        <v>224</v>
      </c>
      <c r="C1014" s="162" t="s">
        <v>34</v>
      </c>
      <c r="D1014" s="162">
        <v>3406681.33</v>
      </c>
      <c r="E1014" s="162" t="s">
        <v>978</v>
      </c>
      <c r="F1014" s="162" t="s">
        <v>979</v>
      </c>
      <c r="G1014" s="353">
        <v>3868775.14</v>
      </c>
      <c r="H1014" s="161">
        <v>42612</v>
      </c>
      <c r="I1014" s="161">
        <v>42612</v>
      </c>
      <c r="J1014" s="162">
        <v>3352504.37</v>
      </c>
      <c r="K1014" s="162">
        <v>3352504.37</v>
      </c>
      <c r="L1014" s="161">
        <v>42699</v>
      </c>
      <c r="M1014" s="199"/>
      <c r="N1014" s="200">
        <v>1</v>
      </c>
      <c r="O1014" s="453"/>
      <c r="P1014" s="176"/>
      <c r="Q1014" s="446" t="s">
        <v>1131</v>
      </c>
      <c r="R1014" s="676"/>
      <c r="S1014" s="9"/>
      <c r="T1014" s="9"/>
      <c r="U1014" s="9"/>
      <c r="V1014" s="9"/>
    </row>
    <row r="1015" spans="1:22" s="8" customFormat="1" ht="33" outlineLevel="1" x14ac:dyDescent="0.25">
      <c r="A1015" s="1013"/>
      <c r="B1015" s="1005"/>
      <c r="C1015" s="163" t="s">
        <v>35</v>
      </c>
      <c r="D1015" s="163">
        <v>1141796.3</v>
      </c>
      <c r="E1015" s="275" t="s">
        <v>978</v>
      </c>
      <c r="F1015" s="275" t="s">
        <v>979</v>
      </c>
      <c r="G1015" s="354">
        <v>1319584.56</v>
      </c>
      <c r="H1015" s="210">
        <v>42612</v>
      </c>
      <c r="I1015" s="212">
        <v>42612</v>
      </c>
      <c r="J1015" s="163">
        <v>1071458.31</v>
      </c>
      <c r="K1015" s="163">
        <v>1071458.31</v>
      </c>
      <c r="L1015" s="212">
        <v>42699</v>
      </c>
      <c r="M1015" s="163"/>
      <c r="N1015" s="213">
        <v>1</v>
      </c>
      <c r="O1015" s="300"/>
      <c r="P1015" s="176"/>
      <c r="Q1015" s="446" t="s">
        <v>1131</v>
      </c>
      <c r="R1015" s="335"/>
      <c r="S1015" s="2"/>
      <c r="T1015" s="2"/>
      <c r="U1015" s="2"/>
      <c r="V1015" s="2"/>
    </row>
    <row r="1016" spans="1:22" s="8" customFormat="1" ht="49.5" outlineLevel="1" x14ac:dyDescent="0.25">
      <c r="A1016" s="1013"/>
      <c r="B1016" s="1005"/>
      <c r="C1016" s="356" t="s">
        <v>37</v>
      </c>
      <c r="D1016" s="357">
        <v>87336.91</v>
      </c>
      <c r="E1016" s="361" t="s">
        <v>550</v>
      </c>
      <c r="F1016" s="358" t="s">
        <v>541</v>
      </c>
      <c r="G1016" s="359">
        <v>87420.98</v>
      </c>
      <c r="H1016" s="360">
        <v>42460</v>
      </c>
      <c r="I1016" s="360">
        <v>42593</v>
      </c>
      <c r="J1016" s="361">
        <v>87336.91</v>
      </c>
      <c r="K1016" s="361">
        <v>87336.91</v>
      </c>
      <c r="L1016" s="360"/>
      <c r="M1016" s="361"/>
      <c r="N1016" s="362"/>
      <c r="O1016" s="466" t="s">
        <v>717</v>
      </c>
      <c r="P1016" s="176"/>
      <c r="Q1016" s="446"/>
      <c r="R1016" s="335"/>
      <c r="S1016" s="2"/>
      <c r="T1016" s="2"/>
      <c r="U1016" s="2"/>
      <c r="V1016" s="2"/>
    </row>
    <row r="1017" spans="1:22" s="8" customFormat="1" ht="17.25" outlineLevel="1" thickBot="1" x14ac:dyDescent="0.3">
      <c r="A1017" s="1006" t="s">
        <v>628</v>
      </c>
      <c r="B1017" s="1007"/>
      <c r="C1017" s="454"/>
      <c r="D1017" s="365">
        <f>SUM(D1014:D1016)</f>
        <v>4635814.54</v>
      </c>
      <c r="E1017" s="677"/>
      <c r="F1017" s="677"/>
      <c r="G1017" s="366">
        <f>SUM(G1014:G1016)</f>
        <v>5275780.6800000006</v>
      </c>
      <c r="H1017" s="309"/>
      <c r="I1017" s="321"/>
      <c r="J1017" s="191">
        <f>SUM(J1014:J1016)</f>
        <v>4511299.59</v>
      </c>
      <c r="K1017" s="365">
        <f>SUM(K1014:K1016)</f>
        <v>4511299.59</v>
      </c>
      <c r="L1017" s="367"/>
      <c r="M1017" s="365"/>
      <c r="N1017" s="368">
        <f>AVERAGE(N1014:N1016)</f>
        <v>1</v>
      </c>
      <c r="O1017" s="455"/>
      <c r="P1017" s="176"/>
      <c r="Q1017" s="446"/>
      <c r="R1017" s="335"/>
      <c r="S1017" s="2"/>
      <c r="T1017" s="2"/>
      <c r="U1017" s="2"/>
      <c r="V1017" s="2"/>
    </row>
    <row r="1018" spans="1:22" s="6" customFormat="1" ht="33" x14ac:dyDescent="0.25">
      <c r="A1018" s="1012">
        <v>2</v>
      </c>
      <c r="B1018" s="1004" t="s">
        <v>225</v>
      </c>
      <c r="C1018" s="162" t="s">
        <v>34</v>
      </c>
      <c r="D1018" s="162">
        <v>3406681.33</v>
      </c>
      <c r="E1018" s="162" t="s">
        <v>978</v>
      </c>
      <c r="F1018" s="162" t="s">
        <v>979</v>
      </c>
      <c r="G1018" s="353">
        <v>3868775.14</v>
      </c>
      <c r="H1018" s="161">
        <v>42612</v>
      </c>
      <c r="I1018" s="161">
        <v>42612</v>
      </c>
      <c r="J1018" s="162">
        <v>3352504.37</v>
      </c>
      <c r="K1018" s="162">
        <v>3352504.37</v>
      </c>
      <c r="L1018" s="161">
        <v>42699</v>
      </c>
      <c r="M1018" s="199"/>
      <c r="N1018" s="200">
        <v>1</v>
      </c>
      <c r="O1018" s="453"/>
      <c r="P1018" s="176"/>
      <c r="Q1018" s="446" t="s">
        <v>1131</v>
      </c>
      <c r="R1018" s="676"/>
      <c r="S1018" s="9"/>
      <c r="T1018" s="9"/>
      <c r="U1018" s="9"/>
      <c r="V1018" s="9"/>
    </row>
    <row r="1019" spans="1:22" s="8" customFormat="1" ht="33" outlineLevel="1" x14ac:dyDescent="0.25">
      <c r="A1019" s="1013"/>
      <c r="B1019" s="1005"/>
      <c r="C1019" s="163" t="s">
        <v>35</v>
      </c>
      <c r="D1019" s="163">
        <v>1141796.3</v>
      </c>
      <c r="E1019" s="275" t="s">
        <v>978</v>
      </c>
      <c r="F1019" s="275" t="s">
        <v>979</v>
      </c>
      <c r="G1019" s="354">
        <v>1319584.56</v>
      </c>
      <c r="H1019" s="210">
        <v>42612</v>
      </c>
      <c r="I1019" s="210">
        <v>42612</v>
      </c>
      <c r="J1019" s="163">
        <v>1071458.31</v>
      </c>
      <c r="K1019" s="163">
        <v>1071458.31</v>
      </c>
      <c r="L1019" s="212">
        <v>42699</v>
      </c>
      <c r="M1019" s="163"/>
      <c r="N1019" s="213">
        <v>1</v>
      </c>
      <c r="O1019" s="300"/>
      <c r="P1019" s="176"/>
      <c r="Q1019" s="446" t="s">
        <v>1131</v>
      </c>
      <c r="R1019" s="335"/>
      <c r="S1019" s="2"/>
      <c r="T1019" s="2"/>
      <c r="U1019" s="2"/>
      <c r="V1019" s="2"/>
    </row>
    <row r="1020" spans="1:22" s="8" customFormat="1" ht="49.5" outlineLevel="1" x14ac:dyDescent="0.25">
      <c r="A1020" s="1013"/>
      <c r="B1020" s="1005"/>
      <c r="C1020" s="356" t="s">
        <v>37</v>
      </c>
      <c r="D1020" s="357">
        <v>83011.13</v>
      </c>
      <c r="E1020" s="361" t="s">
        <v>550</v>
      </c>
      <c r="F1020" s="358" t="s">
        <v>541</v>
      </c>
      <c r="G1020" s="359">
        <v>83091.039999999994</v>
      </c>
      <c r="H1020" s="360">
        <v>42460</v>
      </c>
      <c r="I1020" s="360">
        <v>42593</v>
      </c>
      <c r="J1020" s="361">
        <v>83011.13</v>
      </c>
      <c r="K1020" s="361">
        <v>83011.13</v>
      </c>
      <c r="L1020" s="360"/>
      <c r="M1020" s="361"/>
      <c r="N1020" s="362"/>
      <c r="O1020" s="466" t="s">
        <v>679</v>
      </c>
      <c r="P1020" s="176"/>
      <c r="Q1020" s="446"/>
      <c r="R1020" s="335"/>
      <c r="S1020" s="2"/>
      <c r="T1020" s="2"/>
      <c r="U1020" s="2"/>
      <c r="V1020" s="2"/>
    </row>
    <row r="1021" spans="1:22" s="8" customFormat="1" ht="17.25" outlineLevel="1" thickBot="1" x14ac:dyDescent="0.3">
      <c r="A1021" s="1010" t="s">
        <v>628</v>
      </c>
      <c r="B1021" s="1011"/>
      <c r="C1021" s="461"/>
      <c r="D1021" s="365">
        <f>SUM(D1018:D1020)</f>
        <v>4631488.76</v>
      </c>
      <c r="E1021" s="310"/>
      <c r="F1021" s="310"/>
      <c r="G1021" s="366">
        <f>SUM(G1018:G1020)</f>
        <v>5271450.74</v>
      </c>
      <c r="H1021" s="308"/>
      <c r="I1021" s="277"/>
      <c r="J1021" s="542">
        <f>SUM(J1018:J1020)</f>
        <v>4506973.8099999996</v>
      </c>
      <c r="K1021" s="365">
        <f>SUM(K1018:K1020)</f>
        <v>4506973.8099999996</v>
      </c>
      <c r="L1021" s="367"/>
      <c r="M1021" s="378"/>
      <c r="N1021" s="368">
        <f>AVERAGE(N1018:N1020)</f>
        <v>1</v>
      </c>
      <c r="O1021" s="462"/>
      <c r="P1021" s="176"/>
      <c r="Q1021" s="446"/>
      <c r="R1021" s="335"/>
      <c r="S1021" s="2"/>
      <c r="T1021" s="2"/>
      <c r="U1021" s="2"/>
      <c r="V1021" s="2"/>
    </row>
    <row r="1022" spans="1:22" s="6" customFormat="1" ht="33" x14ac:dyDescent="0.25">
      <c r="A1022" s="1012">
        <v>3</v>
      </c>
      <c r="B1022" s="1004" t="s">
        <v>236</v>
      </c>
      <c r="C1022" s="162" t="s">
        <v>500</v>
      </c>
      <c r="D1022" s="162">
        <v>3145085.86</v>
      </c>
      <c r="E1022" s="162" t="s">
        <v>978</v>
      </c>
      <c r="F1022" s="162" t="s">
        <v>979</v>
      </c>
      <c r="G1022" s="353">
        <v>3145085.86</v>
      </c>
      <c r="H1022" s="161">
        <v>42599</v>
      </c>
      <c r="I1022" s="161">
        <v>42670</v>
      </c>
      <c r="J1022" s="162">
        <v>2820717.81</v>
      </c>
      <c r="K1022" s="162">
        <v>2820717.81</v>
      </c>
      <c r="L1022" s="212">
        <v>42699</v>
      </c>
      <c r="M1022" s="199"/>
      <c r="N1022" s="200">
        <v>1</v>
      </c>
      <c r="O1022" s="453"/>
      <c r="P1022" s="176"/>
      <c r="Q1022" s="446" t="s">
        <v>1131</v>
      </c>
      <c r="R1022" s="676"/>
      <c r="S1022" s="9"/>
      <c r="T1022" s="9"/>
      <c r="U1022" s="9"/>
      <c r="V1022" s="9"/>
    </row>
    <row r="1023" spans="1:22" s="6" customFormat="1" ht="15" customHeight="1" x14ac:dyDescent="0.25">
      <c r="A1023" s="1140"/>
      <c r="B1023" s="1060"/>
      <c r="C1023" s="303" t="s">
        <v>1095</v>
      </c>
      <c r="D1023" s="401">
        <v>96439.03</v>
      </c>
      <c r="E1023" s="403"/>
      <c r="F1023" s="403"/>
      <c r="G1023" s="374"/>
      <c r="H1023" s="179"/>
      <c r="I1023" s="543"/>
      <c r="J1023" s="544"/>
      <c r="K1023" s="544"/>
      <c r="L1023" s="545"/>
      <c r="M1023" s="544"/>
      <c r="N1023" s="404"/>
      <c r="O1023" s="520"/>
      <c r="P1023" s="176"/>
      <c r="Q1023" s="446"/>
      <c r="R1023" s="676"/>
      <c r="S1023" s="9"/>
      <c r="T1023" s="9"/>
      <c r="U1023" s="9"/>
      <c r="V1023" s="9"/>
    </row>
    <row r="1024" spans="1:22" s="8" customFormat="1" ht="49.5" outlineLevel="1" x14ac:dyDescent="0.25">
      <c r="A1024" s="1013"/>
      <c r="B1024" s="1005"/>
      <c r="C1024" s="356" t="s">
        <v>37</v>
      </c>
      <c r="D1024" s="357">
        <v>67197.48</v>
      </c>
      <c r="E1024" s="361" t="s">
        <v>550</v>
      </c>
      <c r="F1024" s="358" t="s">
        <v>541</v>
      </c>
      <c r="G1024" s="359">
        <v>67262.16</v>
      </c>
      <c r="H1024" s="360">
        <v>42460</v>
      </c>
      <c r="I1024" s="360">
        <v>42593</v>
      </c>
      <c r="J1024" s="361">
        <v>67197.48</v>
      </c>
      <c r="K1024" s="361">
        <v>67197.48</v>
      </c>
      <c r="L1024" s="360"/>
      <c r="M1024" s="361"/>
      <c r="N1024" s="362"/>
      <c r="O1024" s="466" t="s">
        <v>707</v>
      </c>
      <c r="P1024" s="176"/>
      <c r="Q1024" s="446"/>
      <c r="R1024" s="335"/>
      <c r="S1024" s="2"/>
      <c r="T1024" s="2"/>
      <c r="U1024" s="2"/>
      <c r="V1024" s="2"/>
    </row>
    <row r="1025" spans="1:22" s="8" customFormat="1" ht="17.25" outlineLevel="1" thickBot="1" x14ac:dyDescent="0.3">
      <c r="A1025" s="1006" t="s">
        <v>628</v>
      </c>
      <c r="B1025" s="1007"/>
      <c r="C1025" s="454"/>
      <c r="D1025" s="365">
        <f>SUM(D1022:D1024)</f>
        <v>3308722.3699999996</v>
      </c>
      <c r="E1025" s="310"/>
      <c r="F1025" s="310"/>
      <c r="G1025" s="366">
        <f>SUM(G1022:G1024)</f>
        <v>3212348.02</v>
      </c>
      <c r="H1025" s="309"/>
      <c r="I1025" s="321"/>
      <c r="J1025" s="191">
        <f>SUM(J1022:J1024)</f>
        <v>2887915.29</v>
      </c>
      <c r="K1025" s="365">
        <f>SUM(K1022:K1024)</f>
        <v>2887915.29</v>
      </c>
      <c r="L1025" s="367"/>
      <c r="M1025" s="365"/>
      <c r="N1025" s="368">
        <f>AVERAGE(N1022:N1024)</f>
        <v>1</v>
      </c>
      <c r="O1025" s="455"/>
      <c r="P1025" s="176"/>
      <c r="Q1025" s="446"/>
      <c r="R1025" s="335"/>
      <c r="S1025" s="2"/>
      <c r="T1025" s="2"/>
      <c r="U1025" s="2"/>
      <c r="V1025" s="2"/>
    </row>
    <row r="1026" spans="1:22" s="6" customFormat="1" ht="33" x14ac:dyDescent="0.25">
      <c r="A1026" s="1012">
        <v>4</v>
      </c>
      <c r="B1026" s="1004" t="s">
        <v>226</v>
      </c>
      <c r="C1026" s="162" t="s">
        <v>38</v>
      </c>
      <c r="D1026" s="162">
        <v>734054.97</v>
      </c>
      <c r="E1026" s="162" t="s">
        <v>978</v>
      </c>
      <c r="F1026" s="162" t="s">
        <v>979</v>
      </c>
      <c r="G1026" s="353">
        <v>817491.02</v>
      </c>
      <c r="H1026" s="161">
        <v>42612</v>
      </c>
      <c r="I1026" s="161">
        <v>42612</v>
      </c>
      <c r="J1026" s="162">
        <v>734054.97</v>
      </c>
      <c r="K1026" s="162">
        <v>734054.97</v>
      </c>
      <c r="L1026" s="161">
        <v>42699</v>
      </c>
      <c r="M1026" s="199"/>
      <c r="N1026" s="200">
        <v>1</v>
      </c>
      <c r="O1026" s="453"/>
      <c r="P1026" s="176"/>
      <c r="Q1026" s="446" t="s">
        <v>1131</v>
      </c>
      <c r="R1026" s="676"/>
      <c r="S1026" s="9"/>
      <c r="T1026" s="9"/>
      <c r="U1026" s="9"/>
      <c r="V1026" s="9"/>
    </row>
    <row r="1027" spans="1:22" s="8" customFormat="1" ht="33" outlineLevel="1" x14ac:dyDescent="0.25">
      <c r="A1027" s="1013"/>
      <c r="B1027" s="1005"/>
      <c r="C1027" s="163" t="s">
        <v>500</v>
      </c>
      <c r="D1027" s="163">
        <v>3145085.86</v>
      </c>
      <c r="E1027" s="275" t="s">
        <v>978</v>
      </c>
      <c r="F1027" s="275" t="s">
        <v>979</v>
      </c>
      <c r="G1027" s="354">
        <v>3145085.86</v>
      </c>
      <c r="H1027" s="210">
        <v>42630</v>
      </c>
      <c r="I1027" s="210">
        <v>42612</v>
      </c>
      <c r="J1027" s="163">
        <v>2820717.81</v>
      </c>
      <c r="K1027" s="163">
        <v>2820717.81</v>
      </c>
      <c r="L1027" s="210">
        <v>42699</v>
      </c>
      <c r="M1027" s="163"/>
      <c r="N1027" s="213">
        <v>1</v>
      </c>
      <c r="O1027" s="300"/>
      <c r="P1027" s="176"/>
      <c r="Q1027" s="446" t="s">
        <v>1131</v>
      </c>
      <c r="R1027" s="335"/>
      <c r="S1027" s="2"/>
      <c r="T1027" s="2"/>
      <c r="U1027" s="2"/>
      <c r="V1027" s="2"/>
    </row>
    <row r="1028" spans="1:22" s="8" customFormat="1" ht="17.25" customHeight="1" outlineLevel="1" x14ac:dyDescent="0.25">
      <c r="A1028" s="1013"/>
      <c r="B1028" s="1005"/>
      <c r="C1028" s="303" t="s">
        <v>1095</v>
      </c>
      <c r="D1028" s="303">
        <v>113596.83</v>
      </c>
      <c r="E1028" s="403"/>
      <c r="F1028" s="403"/>
      <c r="G1028" s="459"/>
      <c r="H1028" s="171"/>
      <c r="I1028" s="171"/>
      <c r="J1028" s="173"/>
      <c r="K1028" s="173"/>
      <c r="L1028" s="171"/>
      <c r="M1028" s="173"/>
      <c r="N1028" s="460"/>
      <c r="O1028" s="300"/>
      <c r="P1028" s="176"/>
      <c r="Q1028" s="446"/>
      <c r="R1028" s="335"/>
      <c r="S1028" s="2"/>
      <c r="T1028" s="2"/>
      <c r="U1028" s="2"/>
      <c r="V1028" s="2"/>
    </row>
    <row r="1029" spans="1:22" s="8" customFormat="1" ht="49.5" outlineLevel="1" x14ac:dyDescent="0.25">
      <c r="A1029" s="1013"/>
      <c r="B1029" s="1005"/>
      <c r="C1029" s="356" t="s">
        <v>37</v>
      </c>
      <c r="D1029" s="357">
        <v>90796.82</v>
      </c>
      <c r="E1029" s="361" t="s">
        <v>550</v>
      </c>
      <c r="F1029" s="358" t="s">
        <v>541</v>
      </c>
      <c r="G1029" s="359">
        <v>90884.21</v>
      </c>
      <c r="H1029" s="360">
        <v>42460</v>
      </c>
      <c r="I1029" s="360">
        <v>42593</v>
      </c>
      <c r="J1029" s="361">
        <v>90796.82</v>
      </c>
      <c r="K1029" s="361">
        <v>90796.82</v>
      </c>
      <c r="L1029" s="360"/>
      <c r="M1029" s="361"/>
      <c r="N1029" s="362"/>
      <c r="O1029" s="466" t="s">
        <v>718</v>
      </c>
      <c r="P1029" s="176"/>
      <c r="Q1029" s="446"/>
      <c r="R1029" s="335"/>
      <c r="S1029" s="2"/>
      <c r="T1029" s="2"/>
      <c r="U1029" s="2"/>
      <c r="V1029" s="2"/>
    </row>
    <row r="1030" spans="1:22" s="8" customFormat="1" ht="17.25" outlineLevel="1" thickBot="1" x14ac:dyDescent="0.3">
      <c r="A1030" s="1006" t="s">
        <v>628</v>
      </c>
      <c r="B1030" s="1007"/>
      <c r="C1030" s="454"/>
      <c r="D1030" s="365">
        <f>SUM(D1026:D1029)</f>
        <v>4083534.48</v>
      </c>
      <c r="E1030" s="677"/>
      <c r="F1030" s="677"/>
      <c r="G1030" s="366">
        <f>SUM(G1026:G1029)</f>
        <v>4053461.09</v>
      </c>
      <c r="H1030" s="309"/>
      <c r="I1030" s="321"/>
      <c r="J1030" s="191">
        <f>SUM(J1026:J1029)</f>
        <v>3645569.6</v>
      </c>
      <c r="K1030" s="365">
        <f>SUM(K1026:K1029)</f>
        <v>3645569.6</v>
      </c>
      <c r="L1030" s="367"/>
      <c r="M1030" s="365"/>
      <c r="N1030" s="368">
        <f>AVERAGE(N1026:N1029)</f>
        <v>1</v>
      </c>
      <c r="O1030" s="455"/>
      <c r="P1030" s="176"/>
      <c r="Q1030" s="446"/>
      <c r="R1030" s="335"/>
      <c r="S1030" s="2"/>
      <c r="T1030" s="2"/>
      <c r="U1030" s="2"/>
      <c r="V1030" s="2"/>
    </row>
    <row r="1031" spans="1:22" s="6" customFormat="1" ht="28.5" customHeight="1" x14ac:dyDescent="0.25">
      <c r="A1031" s="1012">
        <v>5</v>
      </c>
      <c r="B1031" s="1004" t="s">
        <v>227</v>
      </c>
      <c r="C1031" s="162" t="s">
        <v>34</v>
      </c>
      <c r="D1031" s="162">
        <v>3190469.53</v>
      </c>
      <c r="E1031" s="162" t="s">
        <v>978</v>
      </c>
      <c r="F1031" s="162" t="s">
        <v>979</v>
      </c>
      <c r="G1031" s="353">
        <v>4051439.14</v>
      </c>
      <c r="H1031" s="161">
        <v>42612</v>
      </c>
      <c r="I1031" s="161">
        <v>42612</v>
      </c>
      <c r="J1031" s="162">
        <v>3136363.88</v>
      </c>
      <c r="K1031" s="162">
        <v>3136363.88</v>
      </c>
      <c r="L1031" s="161">
        <v>42699</v>
      </c>
      <c r="M1031" s="199"/>
      <c r="N1031" s="200">
        <v>1</v>
      </c>
      <c r="O1031" s="453"/>
      <c r="P1031" s="176"/>
      <c r="Q1031" s="446" t="s">
        <v>1131</v>
      </c>
      <c r="R1031" s="676"/>
      <c r="S1031" s="9"/>
      <c r="T1031" s="9"/>
      <c r="U1031" s="9"/>
      <c r="V1031" s="9"/>
    </row>
    <row r="1032" spans="1:22" s="8" customFormat="1" ht="49.5" outlineLevel="1" x14ac:dyDescent="0.25">
      <c r="A1032" s="1013"/>
      <c r="B1032" s="1005"/>
      <c r="C1032" s="356" t="s">
        <v>37</v>
      </c>
      <c r="D1032" s="357">
        <v>57421.82</v>
      </c>
      <c r="E1032" s="361" t="s">
        <v>550</v>
      </c>
      <c r="F1032" s="358" t="s">
        <v>541</v>
      </c>
      <c r="G1032" s="359">
        <v>57477.09</v>
      </c>
      <c r="H1032" s="360">
        <v>42460</v>
      </c>
      <c r="I1032" s="360">
        <v>42593</v>
      </c>
      <c r="J1032" s="361">
        <v>57421.82</v>
      </c>
      <c r="K1032" s="361">
        <v>57421.82</v>
      </c>
      <c r="L1032" s="360"/>
      <c r="M1032" s="361"/>
      <c r="N1032" s="362"/>
      <c r="O1032" s="466" t="s">
        <v>718</v>
      </c>
      <c r="P1032" s="176"/>
      <c r="Q1032" s="446"/>
      <c r="R1032" s="335"/>
      <c r="S1032" s="2"/>
      <c r="T1032" s="2"/>
      <c r="U1032" s="2"/>
      <c r="V1032" s="2"/>
    </row>
    <row r="1033" spans="1:22" s="8" customFormat="1" ht="17.25" outlineLevel="1" thickBot="1" x14ac:dyDescent="0.3">
      <c r="A1033" s="1006" t="s">
        <v>628</v>
      </c>
      <c r="B1033" s="1007"/>
      <c r="C1033" s="454"/>
      <c r="D1033" s="365">
        <f>SUM(D1031:D1032)</f>
        <v>3247891.3499999996</v>
      </c>
      <c r="E1033" s="677"/>
      <c r="F1033" s="677"/>
      <c r="G1033" s="366">
        <f>SUM(G1031:G1032)</f>
        <v>4108916.23</v>
      </c>
      <c r="H1033" s="309"/>
      <c r="I1033" s="321"/>
      <c r="J1033" s="191">
        <f>SUM(J1031:J1032)</f>
        <v>3193785.6999999997</v>
      </c>
      <c r="K1033" s="365">
        <f>SUM(K1031:K1032)</f>
        <v>3193785.6999999997</v>
      </c>
      <c r="L1033" s="367"/>
      <c r="M1033" s="365"/>
      <c r="N1033" s="368">
        <f>AVERAGE(N1031:N1032)</f>
        <v>1</v>
      </c>
      <c r="O1033" s="455"/>
      <c r="P1033" s="176"/>
      <c r="Q1033" s="446"/>
      <c r="R1033" s="335"/>
      <c r="S1033" s="2"/>
      <c r="T1033" s="2"/>
      <c r="U1033" s="2"/>
      <c r="V1033" s="2"/>
    </row>
    <row r="1034" spans="1:22" s="6" customFormat="1" ht="33" x14ac:dyDescent="0.25">
      <c r="A1034" s="1012">
        <v>6</v>
      </c>
      <c r="B1034" s="1004" t="s">
        <v>228</v>
      </c>
      <c r="C1034" s="162" t="s">
        <v>35</v>
      </c>
      <c r="D1034" s="162">
        <v>813565.54</v>
      </c>
      <c r="E1034" s="162" t="s">
        <v>978</v>
      </c>
      <c r="F1034" s="162" t="s">
        <v>979</v>
      </c>
      <c r="G1034" s="353">
        <v>938131.86</v>
      </c>
      <c r="H1034" s="161">
        <v>42612</v>
      </c>
      <c r="I1034" s="161">
        <v>42612</v>
      </c>
      <c r="J1034" s="162">
        <v>773577.05</v>
      </c>
      <c r="K1034" s="162">
        <v>773577.05</v>
      </c>
      <c r="L1034" s="161">
        <v>42699</v>
      </c>
      <c r="M1034" s="199"/>
      <c r="N1034" s="200">
        <v>1</v>
      </c>
      <c r="O1034" s="453"/>
      <c r="P1034" s="176"/>
      <c r="Q1034" s="446" t="s">
        <v>1131</v>
      </c>
      <c r="R1034" s="676"/>
      <c r="S1034" s="9"/>
      <c r="T1034" s="9"/>
      <c r="U1034" s="9"/>
      <c r="V1034" s="9"/>
    </row>
    <row r="1035" spans="1:22" s="8" customFormat="1" ht="49.5" outlineLevel="1" x14ac:dyDescent="0.25">
      <c r="A1035" s="1013"/>
      <c r="B1035" s="1005"/>
      <c r="C1035" s="356" t="s">
        <v>37</v>
      </c>
      <c r="D1035" s="357">
        <v>55284.79</v>
      </c>
      <c r="E1035" s="361" t="s">
        <v>550</v>
      </c>
      <c r="F1035" s="358" t="s">
        <v>541</v>
      </c>
      <c r="G1035" s="359">
        <v>55338</v>
      </c>
      <c r="H1035" s="360">
        <v>42460</v>
      </c>
      <c r="I1035" s="360">
        <v>42593</v>
      </c>
      <c r="J1035" s="361">
        <v>55284.789999999994</v>
      </c>
      <c r="K1035" s="361">
        <v>55284.789999999994</v>
      </c>
      <c r="L1035" s="360"/>
      <c r="M1035" s="361"/>
      <c r="N1035" s="362"/>
      <c r="O1035" s="466" t="s">
        <v>707</v>
      </c>
      <c r="P1035" s="176"/>
      <c r="Q1035" s="446"/>
      <c r="R1035" s="335"/>
      <c r="S1035" s="2"/>
      <c r="T1035" s="2"/>
      <c r="U1035" s="2"/>
      <c r="V1035" s="2"/>
    </row>
    <row r="1036" spans="1:22" s="8" customFormat="1" ht="17.25" outlineLevel="1" thickBot="1" x14ac:dyDescent="0.3">
      <c r="A1036" s="1006" t="s">
        <v>628</v>
      </c>
      <c r="B1036" s="1007"/>
      <c r="C1036" s="454"/>
      <c r="D1036" s="365">
        <f>SUM(D1034:D1035)</f>
        <v>868850.33000000007</v>
      </c>
      <c r="E1036" s="677"/>
      <c r="F1036" s="403"/>
      <c r="G1036" s="366">
        <f>SUM(G1034:G1035)</f>
        <v>993469.86</v>
      </c>
      <c r="H1036" s="309"/>
      <c r="I1036" s="321"/>
      <c r="J1036" s="191">
        <f>SUM(J1034:J1035)</f>
        <v>828861.84000000008</v>
      </c>
      <c r="K1036" s="365">
        <f>SUM(K1034:K1035)</f>
        <v>828861.84000000008</v>
      </c>
      <c r="L1036" s="367"/>
      <c r="M1036" s="365"/>
      <c r="N1036" s="368">
        <f>AVERAGE(N1034:N1035)</f>
        <v>1</v>
      </c>
      <c r="O1036" s="455"/>
      <c r="P1036" s="176"/>
      <c r="Q1036" s="446"/>
      <c r="R1036" s="335"/>
      <c r="S1036" s="2"/>
      <c r="T1036" s="2"/>
      <c r="U1036" s="2"/>
      <c r="V1036" s="2"/>
    </row>
    <row r="1037" spans="1:22" s="6" customFormat="1" ht="28.5" customHeight="1" x14ac:dyDescent="0.25">
      <c r="A1037" s="1012">
        <v>7</v>
      </c>
      <c r="B1037" s="1004" t="s">
        <v>229</v>
      </c>
      <c r="C1037" s="162" t="s">
        <v>35</v>
      </c>
      <c r="D1037" s="162">
        <v>567758.56000000006</v>
      </c>
      <c r="E1037" s="162" t="s">
        <v>978</v>
      </c>
      <c r="F1037" s="162" t="s">
        <v>979</v>
      </c>
      <c r="G1037" s="353">
        <v>1078114.08</v>
      </c>
      <c r="H1037" s="161">
        <v>42612</v>
      </c>
      <c r="I1037" s="161">
        <v>42612</v>
      </c>
      <c r="J1037" s="162">
        <v>503815.28</v>
      </c>
      <c r="K1037" s="162">
        <v>503815.28</v>
      </c>
      <c r="L1037" s="161">
        <v>42699</v>
      </c>
      <c r="M1037" s="199"/>
      <c r="N1037" s="200">
        <v>1</v>
      </c>
      <c r="O1037" s="453"/>
      <c r="P1037" s="176"/>
      <c r="Q1037" s="446" t="s">
        <v>1131</v>
      </c>
      <c r="R1037" s="676"/>
      <c r="S1037" s="9"/>
      <c r="T1037" s="9"/>
      <c r="U1037" s="9"/>
      <c r="V1037" s="9"/>
    </row>
    <row r="1038" spans="1:22" s="8" customFormat="1" ht="49.5" outlineLevel="1" x14ac:dyDescent="0.25">
      <c r="A1038" s="1013"/>
      <c r="B1038" s="1005"/>
      <c r="C1038" s="356" t="s">
        <v>37</v>
      </c>
      <c r="D1038" s="357">
        <v>55275.05</v>
      </c>
      <c r="E1038" s="361" t="s">
        <v>550</v>
      </c>
      <c r="F1038" s="358" t="s">
        <v>541</v>
      </c>
      <c r="G1038" s="359">
        <v>55328.25</v>
      </c>
      <c r="H1038" s="360">
        <v>42460</v>
      </c>
      <c r="I1038" s="360">
        <v>42593</v>
      </c>
      <c r="J1038" s="361">
        <v>55275.05</v>
      </c>
      <c r="K1038" s="361">
        <v>55275.05</v>
      </c>
      <c r="L1038" s="360"/>
      <c r="M1038" s="361"/>
      <c r="N1038" s="362"/>
      <c r="O1038" s="466" t="s">
        <v>719</v>
      </c>
      <c r="P1038" s="176"/>
      <c r="Q1038" s="446"/>
      <c r="R1038" s="335"/>
      <c r="S1038" s="2"/>
      <c r="T1038" s="2"/>
      <c r="U1038" s="2"/>
      <c r="V1038" s="2"/>
    </row>
    <row r="1039" spans="1:22" s="8" customFormat="1" ht="17.25" outlineLevel="1" thickBot="1" x14ac:dyDescent="0.3">
      <c r="A1039" s="1010" t="s">
        <v>628</v>
      </c>
      <c r="B1039" s="1011"/>
      <c r="C1039" s="461"/>
      <c r="D1039" s="365">
        <f>SUM(D1037:D1038)</f>
        <v>623033.6100000001</v>
      </c>
      <c r="E1039" s="310"/>
      <c r="F1039" s="310"/>
      <c r="G1039" s="366">
        <f>SUM(G1037:G1038)</f>
        <v>1133442.33</v>
      </c>
      <c r="H1039" s="308"/>
      <c r="I1039" s="277"/>
      <c r="J1039" s="542">
        <f>SUM(J1037:J1038)</f>
        <v>559090.33000000007</v>
      </c>
      <c r="K1039" s="365">
        <f>SUM(K1037:K1038)</f>
        <v>559090.33000000007</v>
      </c>
      <c r="L1039" s="380"/>
      <c r="M1039" s="378"/>
      <c r="N1039" s="368">
        <f>AVERAGE(N1037:N1038)</f>
        <v>1</v>
      </c>
      <c r="O1039" s="462"/>
      <c r="P1039" s="176"/>
      <c r="Q1039" s="446"/>
      <c r="R1039" s="335"/>
      <c r="S1039" s="2"/>
      <c r="T1039" s="2"/>
      <c r="U1039" s="2"/>
      <c r="V1039" s="2"/>
    </row>
    <row r="1040" spans="1:22" s="6" customFormat="1" ht="28.5" customHeight="1" x14ac:dyDescent="0.25">
      <c r="A1040" s="1012">
        <v>8</v>
      </c>
      <c r="B1040" s="1004" t="s">
        <v>230</v>
      </c>
      <c r="C1040" s="162" t="s">
        <v>34</v>
      </c>
      <c r="D1040" s="162">
        <v>2736522.62</v>
      </c>
      <c r="E1040" s="162" t="s">
        <v>978</v>
      </c>
      <c r="F1040" s="162" t="s">
        <v>979</v>
      </c>
      <c r="G1040" s="353">
        <v>3090281.94</v>
      </c>
      <c r="H1040" s="161">
        <v>42612</v>
      </c>
      <c r="I1040" s="161">
        <v>42612</v>
      </c>
      <c r="J1040" s="162">
        <v>2700407.87</v>
      </c>
      <c r="K1040" s="162">
        <v>2700407.87</v>
      </c>
      <c r="L1040" s="161">
        <v>42699</v>
      </c>
      <c r="M1040" s="199"/>
      <c r="N1040" s="200">
        <v>1</v>
      </c>
      <c r="O1040" s="453"/>
      <c r="P1040" s="176"/>
      <c r="Q1040" s="446" t="s">
        <v>1131</v>
      </c>
      <c r="R1040" s="676"/>
      <c r="S1040" s="9"/>
      <c r="T1040" s="9"/>
      <c r="U1040" s="9"/>
      <c r="V1040" s="9"/>
    </row>
    <row r="1041" spans="1:22" s="8" customFormat="1" ht="49.5" outlineLevel="1" x14ac:dyDescent="0.25">
      <c r="A1041" s="1013"/>
      <c r="B1041" s="1005"/>
      <c r="C1041" s="356" t="s">
        <v>37</v>
      </c>
      <c r="D1041" s="357">
        <v>68925.64</v>
      </c>
      <c r="E1041" s="361" t="s">
        <v>550</v>
      </c>
      <c r="F1041" s="358" t="s">
        <v>541</v>
      </c>
      <c r="G1041" s="359">
        <v>68991.98</v>
      </c>
      <c r="H1041" s="360">
        <v>42460</v>
      </c>
      <c r="I1041" s="360">
        <v>42593</v>
      </c>
      <c r="J1041" s="361">
        <v>68925.64</v>
      </c>
      <c r="K1041" s="361">
        <v>68925.64</v>
      </c>
      <c r="L1041" s="360"/>
      <c r="M1041" s="361"/>
      <c r="N1041" s="362"/>
      <c r="O1041" s="466" t="s">
        <v>719</v>
      </c>
      <c r="P1041" s="176"/>
      <c r="Q1041" s="446"/>
      <c r="R1041" s="335"/>
      <c r="S1041" s="2"/>
      <c r="T1041" s="2"/>
      <c r="U1041" s="2"/>
      <c r="V1041" s="2"/>
    </row>
    <row r="1042" spans="1:22" s="8" customFormat="1" ht="17.25" outlineLevel="1" thickBot="1" x14ac:dyDescent="0.3">
      <c r="A1042" s="1006" t="s">
        <v>628</v>
      </c>
      <c r="B1042" s="1007"/>
      <c r="C1042" s="454"/>
      <c r="D1042" s="365">
        <f>SUM(D1040:D1041)</f>
        <v>2805448.2600000002</v>
      </c>
      <c r="E1042" s="677"/>
      <c r="F1042" s="677"/>
      <c r="G1042" s="366">
        <f>SUM(G1040:G1041)</f>
        <v>3159273.92</v>
      </c>
      <c r="H1042" s="309"/>
      <c r="I1042" s="321"/>
      <c r="J1042" s="191">
        <f>SUM(J1040:J1041)</f>
        <v>2769333.5100000002</v>
      </c>
      <c r="K1042" s="365">
        <f>SUM(K1040:K1041)</f>
        <v>2769333.5100000002</v>
      </c>
      <c r="L1042" s="367"/>
      <c r="M1042" s="365"/>
      <c r="N1042" s="368">
        <f>AVERAGE(N1040:N1041)</f>
        <v>1</v>
      </c>
      <c r="O1042" s="455"/>
      <c r="P1042" s="176"/>
      <c r="Q1042" s="446"/>
      <c r="R1042" s="335"/>
      <c r="S1042" s="2"/>
      <c r="T1042" s="2"/>
      <c r="U1042" s="2"/>
      <c r="V1042" s="2"/>
    </row>
    <row r="1043" spans="1:22" s="6" customFormat="1" ht="28.5" customHeight="1" x14ac:dyDescent="0.25">
      <c r="A1043" s="1012">
        <v>9</v>
      </c>
      <c r="B1043" s="1004" t="s">
        <v>231</v>
      </c>
      <c r="C1043" s="162" t="s">
        <v>38</v>
      </c>
      <c r="D1043" s="487">
        <v>588725.18999999994</v>
      </c>
      <c r="E1043" s="162" t="s">
        <v>978</v>
      </c>
      <c r="F1043" s="162" t="s">
        <v>979</v>
      </c>
      <c r="G1043" s="519">
        <v>660241.86</v>
      </c>
      <c r="H1043" s="161">
        <v>42612</v>
      </c>
      <c r="I1043" s="161">
        <v>42612</v>
      </c>
      <c r="J1043" s="487">
        <v>588725.18999999994</v>
      </c>
      <c r="K1043" s="487">
        <v>588725.18999999994</v>
      </c>
      <c r="L1043" s="161">
        <v>42699</v>
      </c>
      <c r="M1043" s="199"/>
      <c r="N1043" s="200">
        <v>1</v>
      </c>
      <c r="O1043" s="453"/>
      <c r="P1043" s="176"/>
      <c r="Q1043" s="446" t="s">
        <v>1131</v>
      </c>
      <c r="R1043" s="676"/>
      <c r="S1043" s="9"/>
      <c r="T1043" s="9"/>
      <c r="U1043" s="9"/>
      <c r="V1043" s="9"/>
    </row>
    <row r="1044" spans="1:22" s="8" customFormat="1" ht="33" outlineLevel="1" x14ac:dyDescent="0.25">
      <c r="A1044" s="1013"/>
      <c r="B1044" s="1005"/>
      <c r="C1044" s="163" t="s">
        <v>34</v>
      </c>
      <c r="D1044" s="163">
        <v>3406681.33</v>
      </c>
      <c r="E1044" s="275" t="s">
        <v>978</v>
      </c>
      <c r="F1044" s="275" t="s">
        <v>979</v>
      </c>
      <c r="G1044" s="354">
        <v>3868775.14</v>
      </c>
      <c r="H1044" s="210">
        <v>42612</v>
      </c>
      <c r="I1044" s="210">
        <v>42612</v>
      </c>
      <c r="J1044" s="163">
        <v>3352504.37</v>
      </c>
      <c r="K1044" s="163">
        <v>3352504.37</v>
      </c>
      <c r="L1044" s="210">
        <v>42699</v>
      </c>
      <c r="M1044" s="163"/>
      <c r="N1044" s="213">
        <v>1</v>
      </c>
      <c r="O1044" s="300"/>
      <c r="P1044" s="176"/>
      <c r="Q1044" s="446" t="s">
        <v>1131</v>
      </c>
      <c r="R1044" s="335"/>
      <c r="S1044" s="2"/>
      <c r="T1044" s="2"/>
      <c r="U1044" s="2"/>
      <c r="V1044" s="2"/>
    </row>
    <row r="1045" spans="1:22" s="8" customFormat="1" ht="49.5" outlineLevel="1" x14ac:dyDescent="0.25">
      <c r="A1045" s="1013"/>
      <c r="B1045" s="1005"/>
      <c r="C1045" s="356" t="s">
        <v>37</v>
      </c>
      <c r="D1045" s="357">
        <v>162359.67000000001</v>
      </c>
      <c r="E1045" s="361" t="s">
        <v>550</v>
      </c>
      <c r="F1045" s="358" t="s">
        <v>541</v>
      </c>
      <c r="G1045" s="359">
        <v>162515.95000000001</v>
      </c>
      <c r="H1045" s="360">
        <v>42460</v>
      </c>
      <c r="I1045" s="360">
        <v>42593</v>
      </c>
      <c r="J1045" s="361">
        <v>162359.67000000001</v>
      </c>
      <c r="K1045" s="361">
        <v>162359.67000000001</v>
      </c>
      <c r="L1045" s="360"/>
      <c r="M1045" s="361"/>
      <c r="N1045" s="362"/>
      <c r="O1045" s="466" t="s">
        <v>688</v>
      </c>
      <c r="P1045" s="176"/>
      <c r="Q1045" s="446"/>
      <c r="R1045" s="335"/>
      <c r="S1045" s="2"/>
      <c r="T1045" s="2"/>
      <c r="U1045" s="2"/>
      <c r="V1045" s="2"/>
    </row>
    <row r="1046" spans="1:22" s="8" customFormat="1" ht="17.25" outlineLevel="1" thickBot="1" x14ac:dyDescent="0.3">
      <c r="A1046" s="1006" t="s">
        <v>628</v>
      </c>
      <c r="B1046" s="1007"/>
      <c r="C1046" s="454"/>
      <c r="D1046" s="365">
        <f>SUM(D1043:D1045)</f>
        <v>4157766.19</v>
      </c>
      <c r="E1046" s="677"/>
      <c r="F1046" s="677"/>
      <c r="G1046" s="366">
        <f>SUM(G1043:G1045)</f>
        <v>4691532.95</v>
      </c>
      <c r="H1046" s="309"/>
      <c r="I1046" s="321"/>
      <c r="J1046" s="191">
        <f>SUM(J1043:J1045)</f>
        <v>4103589.23</v>
      </c>
      <c r="K1046" s="365">
        <f>SUM(K1043:K1045)</f>
        <v>4103589.23</v>
      </c>
      <c r="L1046" s="367"/>
      <c r="M1046" s="365"/>
      <c r="N1046" s="368">
        <f>AVERAGE(N1043:N1045)</f>
        <v>1</v>
      </c>
      <c r="O1046" s="455"/>
      <c r="P1046" s="176"/>
      <c r="Q1046" s="446"/>
      <c r="R1046" s="335"/>
      <c r="S1046" s="2"/>
      <c r="T1046" s="2"/>
      <c r="U1046" s="2"/>
      <c r="V1046" s="2"/>
    </row>
    <row r="1047" spans="1:22" s="6" customFormat="1" ht="33" x14ac:dyDescent="0.25">
      <c r="A1047" s="1012">
        <v>10</v>
      </c>
      <c r="B1047" s="1004" t="s">
        <v>237</v>
      </c>
      <c r="C1047" s="162" t="s">
        <v>500</v>
      </c>
      <c r="D1047" s="162">
        <v>3649470.96</v>
      </c>
      <c r="E1047" s="162" t="s">
        <v>978</v>
      </c>
      <c r="F1047" s="162" t="s">
        <v>979</v>
      </c>
      <c r="G1047" s="353">
        <v>3649470.96</v>
      </c>
      <c r="H1047" s="161">
        <v>42630</v>
      </c>
      <c r="I1047" s="161">
        <v>42612</v>
      </c>
      <c r="J1047" s="162">
        <v>3271400.13</v>
      </c>
      <c r="K1047" s="162">
        <v>3271400.13</v>
      </c>
      <c r="L1047" s="161">
        <v>42699</v>
      </c>
      <c r="M1047" s="199"/>
      <c r="N1047" s="200">
        <v>1</v>
      </c>
      <c r="O1047" s="453"/>
      <c r="P1047" s="176"/>
      <c r="Q1047" s="446" t="s">
        <v>1131</v>
      </c>
      <c r="R1047" s="676"/>
      <c r="S1047" s="9"/>
      <c r="T1047" s="9"/>
      <c r="U1047" s="9"/>
      <c r="V1047" s="9"/>
    </row>
    <row r="1048" spans="1:22" s="6" customFormat="1" ht="33" x14ac:dyDescent="0.25">
      <c r="A1048" s="1140"/>
      <c r="B1048" s="1060"/>
      <c r="C1048" s="303" t="s">
        <v>1095</v>
      </c>
      <c r="D1048" s="401">
        <v>96474.6</v>
      </c>
      <c r="E1048" s="403"/>
      <c r="F1048" s="403"/>
      <c r="G1048" s="374"/>
      <c r="H1048" s="179"/>
      <c r="I1048" s="545"/>
      <c r="J1048" s="544"/>
      <c r="K1048" s="544"/>
      <c r="L1048" s="545"/>
      <c r="M1048" s="544"/>
      <c r="N1048" s="404"/>
      <c r="O1048" s="520"/>
      <c r="P1048" s="176"/>
      <c r="Q1048" s="446"/>
      <c r="R1048" s="676"/>
      <c r="S1048" s="9"/>
      <c r="T1048" s="9"/>
      <c r="U1048" s="9"/>
      <c r="V1048" s="9"/>
    </row>
    <row r="1049" spans="1:22" s="8" customFormat="1" ht="49.5" outlineLevel="1" x14ac:dyDescent="0.25">
      <c r="A1049" s="1013"/>
      <c r="B1049" s="1005"/>
      <c r="C1049" s="356" t="s">
        <v>37</v>
      </c>
      <c r="D1049" s="357">
        <v>68691.240000000005</v>
      </c>
      <c r="E1049" s="361" t="s">
        <v>550</v>
      </c>
      <c r="F1049" s="358" t="s">
        <v>541</v>
      </c>
      <c r="G1049" s="359">
        <v>68757.36</v>
      </c>
      <c r="H1049" s="360">
        <v>42460</v>
      </c>
      <c r="I1049" s="360">
        <v>42593</v>
      </c>
      <c r="J1049" s="361">
        <v>68691.239999999991</v>
      </c>
      <c r="K1049" s="361">
        <v>68691.239999999991</v>
      </c>
      <c r="L1049" s="360"/>
      <c r="M1049" s="361"/>
      <c r="N1049" s="362"/>
      <c r="O1049" s="466" t="s">
        <v>720</v>
      </c>
      <c r="P1049" s="176"/>
      <c r="Q1049" s="446"/>
      <c r="R1049" s="335"/>
      <c r="S1049" s="2"/>
      <c r="T1049" s="2"/>
      <c r="U1049" s="2"/>
      <c r="V1049" s="2"/>
    </row>
    <row r="1050" spans="1:22" s="8" customFormat="1" ht="17.25" outlineLevel="1" thickBot="1" x14ac:dyDescent="0.3">
      <c r="A1050" s="1010" t="s">
        <v>628</v>
      </c>
      <c r="B1050" s="1011"/>
      <c r="C1050" s="461"/>
      <c r="D1050" s="365">
        <f>SUM(D1047:D1049)</f>
        <v>3814636.8000000003</v>
      </c>
      <c r="E1050" s="310"/>
      <c r="F1050" s="310"/>
      <c r="G1050" s="366">
        <f>SUM(G1047:G1049)</f>
        <v>3718228.32</v>
      </c>
      <c r="H1050" s="308"/>
      <c r="I1050" s="277"/>
      <c r="J1050" s="542">
        <f>SUM(J1047:J1049)</f>
        <v>3340091.37</v>
      </c>
      <c r="K1050" s="365">
        <f>SUM(K1047:K1049)</f>
        <v>3340091.37</v>
      </c>
      <c r="L1050" s="380"/>
      <c r="M1050" s="378"/>
      <c r="N1050" s="368">
        <f>AVERAGE(N1047:N1049)</f>
        <v>1</v>
      </c>
      <c r="O1050" s="462"/>
      <c r="P1050" s="176"/>
      <c r="Q1050" s="446"/>
      <c r="R1050" s="335"/>
      <c r="S1050" s="2"/>
      <c r="T1050" s="2"/>
      <c r="U1050" s="2"/>
      <c r="V1050" s="2"/>
    </row>
    <row r="1051" spans="1:22" s="6" customFormat="1" ht="33" x14ac:dyDescent="0.25">
      <c r="A1051" s="1012">
        <v>11</v>
      </c>
      <c r="B1051" s="1004" t="s">
        <v>232</v>
      </c>
      <c r="C1051" s="162" t="s">
        <v>34</v>
      </c>
      <c r="D1051" s="162">
        <v>2736522.62</v>
      </c>
      <c r="E1051" s="162" t="s">
        <v>978</v>
      </c>
      <c r="F1051" s="162" t="s">
        <v>979</v>
      </c>
      <c r="G1051" s="353">
        <v>3090281.94</v>
      </c>
      <c r="H1051" s="161">
        <v>42612</v>
      </c>
      <c r="I1051" s="161">
        <v>42612</v>
      </c>
      <c r="J1051" s="162">
        <v>2700407.87</v>
      </c>
      <c r="K1051" s="162">
        <v>2700407.87</v>
      </c>
      <c r="L1051" s="161">
        <v>42699</v>
      </c>
      <c r="M1051" s="199"/>
      <c r="N1051" s="200">
        <v>1</v>
      </c>
      <c r="O1051" s="453"/>
      <c r="P1051" s="176"/>
      <c r="Q1051" s="446" t="s">
        <v>1131</v>
      </c>
      <c r="R1051" s="676"/>
      <c r="S1051" s="9"/>
      <c r="T1051" s="9"/>
      <c r="U1051" s="9"/>
      <c r="V1051" s="9"/>
    </row>
    <row r="1052" spans="1:22" s="8" customFormat="1" ht="49.5" outlineLevel="1" x14ac:dyDescent="0.25">
      <c r="A1052" s="1013"/>
      <c r="B1052" s="1005"/>
      <c r="C1052" s="356" t="s">
        <v>37</v>
      </c>
      <c r="D1052" s="357">
        <v>68749.2</v>
      </c>
      <c r="E1052" s="361" t="s">
        <v>550</v>
      </c>
      <c r="F1052" s="358" t="s">
        <v>541</v>
      </c>
      <c r="G1052" s="359">
        <v>68815.37</v>
      </c>
      <c r="H1052" s="360">
        <v>42460</v>
      </c>
      <c r="I1052" s="360">
        <v>42593</v>
      </c>
      <c r="J1052" s="361">
        <v>68749.2</v>
      </c>
      <c r="K1052" s="361">
        <v>68749.2</v>
      </c>
      <c r="L1052" s="360"/>
      <c r="M1052" s="361"/>
      <c r="N1052" s="362"/>
      <c r="O1052" s="466" t="s">
        <v>755</v>
      </c>
      <c r="P1052" s="176"/>
      <c r="Q1052" s="446"/>
      <c r="R1052" s="335"/>
      <c r="S1052" s="2"/>
      <c r="T1052" s="2"/>
      <c r="U1052" s="2"/>
      <c r="V1052" s="2"/>
    </row>
    <row r="1053" spans="1:22" s="8" customFormat="1" ht="17.25" outlineLevel="1" thickBot="1" x14ac:dyDescent="0.3">
      <c r="A1053" s="1006" t="s">
        <v>628</v>
      </c>
      <c r="B1053" s="1007"/>
      <c r="C1053" s="454"/>
      <c r="D1053" s="365">
        <f>SUM(D1051:D1052)</f>
        <v>2805271.8200000003</v>
      </c>
      <c r="E1053" s="677"/>
      <c r="F1053" s="677"/>
      <c r="G1053" s="366">
        <f>SUM(G1051:G1052)</f>
        <v>3159097.31</v>
      </c>
      <c r="H1053" s="309"/>
      <c r="I1053" s="321"/>
      <c r="J1053" s="191">
        <f>SUM(J1051:J1052)</f>
        <v>2769157.0700000003</v>
      </c>
      <c r="K1053" s="365">
        <f>SUM(K1051:K1052)</f>
        <v>2769157.0700000003</v>
      </c>
      <c r="L1053" s="367"/>
      <c r="M1053" s="365"/>
      <c r="N1053" s="368">
        <f>AVERAGE(N1051:N1052)</f>
        <v>1</v>
      </c>
      <c r="O1053" s="455"/>
      <c r="P1053" s="176"/>
      <c r="Q1053" s="446"/>
      <c r="R1053" s="335"/>
      <c r="S1053" s="2"/>
      <c r="T1053" s="2"/>
      <c r="U1053" s="2"/>
      <c r="V1053" s="2"/>
    </row>
    <row r="1054" spans="1:22" s="6" customFormat="1" ht="33" x14ac:dyDescent="0.25">
      <c r="A1054" s="1012">
        <v>12</v>
      </c>
      <c r="B1054" s="1004" t="s">
        <v>516</v>
      </c>
      <c r="C1054" s="162" t="s">
        <v>35</v>
      </c>
      <c r="D1054" s="162">
        <v>813565.54</v>
      </c>
      <c r="E1054" s="162" t="s">
        <v>978</v>
      </c>
      <c r="F1054" s="162" t="s">
        <v>979</v>
      </c>
      <c r="G1054" s="353">
        <v>938131.86</v>
      </c>
      <c r="H1054" s="161">
        <v>42612</v>
      </c>
      <c r="I1054" s="161">
        <v>42612</v>
      </c>
      <c r="J1054" s="162">
        <v>773577.05</v>
      </c>
      <c r="K1054" s="162">
        <v>773577.05</v>
      </c>
      <c r="L1054" s="161">
        <v>42699</v>
      </c>
      <c r="M1054" s="199"/>
      <c r="N1054" s="200">
        <v>1</v>
      </c>
      <c r="O1054" s="453"/>
      <c r="P1054" s="176"/>
      <c r="Q1054" s="446" t="s">
        <v>1131</v>
      </c>
      <c r="R1054" s="676"/>
      <c r="S1054" s="9"/>
      <c r="T1054" s="9"/>
      <c r="U1054" s="9"/>
      <c r="V1054" s="9"/>
    </row>
    <row r="1055" spans="1:22" s="8" customFormat="1" ht="49.5" outlineLevel="1" x14ac:dyDescent="0.25">
      <c r="A1055" s="1013"/>
      <c r="B1055" s="1005"/>
      <c r="C1055" s="356" t="s">
        <v>37</v>
      </c>
      <c r="D1055" s="357">
        <v>58093.2</v>
      </c>
      <c r="E1055" s="361" t="s">
        <v>550</v>
      </c>
      <c r="F1055" s="358" t="s">
        <v>541</v>
      </c>
      <c r="G1055" s="359">
        <f>49278.91*1.18</f>
        <v>58149.113799999999</v>
      </c>
      <c r="H1055" s="360">
        <v>42460</v>
      </c>
      <c r="I1055" s="360">
        <v>42593</v>
      </c>
      <c r="J1055" s="361">
        <v>58093.200000000004</v>
      </c>
      <c r="K1055" s="361">
        <v>58093.200000000004</v>
      </c>
      <c r="L1055" s="360"/>
      <c r="M1055" s="361"/>
      <c r="N1055" s="362"/>
      <c r="O1055" s="466" t="s">
        <v>718</v>
      </c>
      <c r="P1055" s="176"/>
      <c r="Q1055" s="446"/>
      <c r="R1055" s="335"/>
      <c r="S1055" s="2"/>
      <c r="T1055" s="2"/>
      <c r="U1055" s="2"/>
      <c r="V1055" s="2"/>
    </row>
    <row r="1056" spans="1:22" s="8" customFormat="1" ht="17.25" outlineLevel="1" thickBot="1" x14ac:dyDescent="0.3">
      <c r="A1056" s="1006" t="s">
        <v>628</v>
      </c>
      <c r="B1056" s="1007"/>
      <c r="C1056" s="454"/>
      <c r="D1056" s="365">
        <f>SUM(D1054:D1055)</f>
        <v>871658.74</v>
      </c>
      <c r="E1056" s="677"/>
      <c r="F1056" s="677"/>
      <c r="G1056" s="366">
        <f>SUM(G1054:G1055)</f>
        <v>996280.97380000004</v>
      </c>
      <c r="H1056" s="309"/>
      <c r="I1056" s="321"/>
      <c r="J1056" s="191">
        <f>SUM(J1054:J1055)</f>
        <v>831670.25</v>
      </c>
      <c r="K1056" s="365">
        <f>SUM(K1054:K1055)</f>
        <v>831670.25</v>
      </c>
      <c r="L1056" s="367"/>
      <c r="M1056" s="365"/>
      <c r="N1056" s="368">
        <f>AVERAGE(N1054:N1055)</f>
        <v>1</v>
      </c>
      <c r="O1056" s="455"/>
      <c r="P1056" s="176"/>
      <c r="Q1056" s="446"/>
      <c r="R1056" s="335"/>
      <c r="S1056" s="2"/>
      <c r="T1056" s="2"/>
      <c r="U1056" s="2"/>
      <c r="V1056" s="2"/>
    </row>
    <row r="1057" spans="1:22" s="6" customFormat="1" ht="33" x14ac:dyDescent="0.25">
      <c r="A1057" s="1012">
        <v>13</v>
      </c>
      <c r="B1057" s="1004" t="s">
        <v>233</v>
      </c>
      <c r="C1057" s="162" t="s">
        <v>35</v>
      </c>
      <c r="D1057" s="162">
        <v>813565.54</v>
      </c>
      <c r="E1057" s="162" t="s">
        <v>978</v>
      </c>
      <c r="F1057" s="162" t="s">
        <v>979</v>
      </c>
      <c r="G1057" s="353">
        <v>938131.86</v>
      </c>
      <c r="H1057" s="161">
        <v>42612</v>
      </c>
      <c r="I1057" s="161">
        <v>42612</v>
      </c>
      <c r="J1057" s="162">
        <v>773577.05</v>
      </c>
      <c r="K1057" s="162">
        <v>773577.05</v>
      </c>
      <c r="L1057" s="161">
        <v>42699</v>
      </c>
      <c r="M1057" s="199"/>
      <c r="N1057" s="200">
        <v>1</v>
      </c>
      <c r="O1057" s="453"/>
      <c r="P1057" s="176"/>
      <c r="Q1057" s="446" t="s">
        <v>1131</v>
      </c>
      <c r="R1057" s="676"/>
      <c r="S1057" s="9"/>
      <c r="T1057" s="9"/>
      <c r="U1057" s="9"/>
      <c r="V1057" s="9"/>
    </row>
    <row r="1058" spans="1:22" s="8" customFormat="1" ht="49.5" outlineLevel="1" x14ac:dyDescent="0.25">
      <c r="A1058" s="1013"/>
      <c r="B1058" s="1005"/>
      <c r="C1058" s="356" t="s">
        <v>37</v>
      </c>
      <c r="D1058" s="357">
        <v>55343.199999999997</v>
      </c>
      <c r="E1058" s="361" t="s">
        <v>550</v>
      </c>
      <c r="F1058" s="678" t="s">
        <v>541</v>
      </c>
      <c r="G1058" s="359">
        <f>46946.16*1.18</f>
        <v>55396.468800000002</v>
      </c>
      <c r="H1058" s="360">
        <v>42460</v>
      </c>
      <c r="I1058" s="360">
        <v>42593</v>
      </c>
      <c r="J1058" s="361">
        <v>55343.200000000004</v>
      </c>
      <c r="K1058" s="361">
        <v>55343.200000000004</v>
      </c>
      <c r="L1058" s="360"/>
      <c r="M1058" s="361"/>
      <c r="N1058" s="362"/>
      <c r="O1058" s="466" t="s">
        <v>718</v>
      </c>
      <c r="P1058" s="176"/>
      <c r="Q1058" s="446"/>
      <c r="R1058" s="335"/>
      <c r="S1058" s="2"/>
      <c r="T1058" s="2"/>
      <c r="U1058" s="2"/>
      <c r="V1058" s="2"/>
    </row>
    <row r="1059" spans="1:22" s="8" customFormat="1" ht="17.25" outlineLevel="1" thickBot="1" x14ac:dyDescent="0.3">
      <c r="A1059" s="1010" t="s">
        <v>628</v>
      </c>
      <c r="B1059" s="1011"/>
      <c r="C1059" s="461"/>
      <c r="D1059" s="365">
        <f>SUM(D1057:D1058)</f>
        <v>868908.74</v>
      </c>
      <c r="E1059" s="310"/>
      <c r="F1059" s="677"/>
      <c r="G1059" s="366">
        <f>SUM(G1057:G1058)</f>
        <v>993528.32880000002</v>
      </c>
      <c r="H1059" s="308"/>
      <c r="I1059" s="277"/>
      <c r="J1059" s="542">
        <f>SUM(J1057:J1058)</f>
        <v>828920.25</v>
      </c>
      <c r="K1059" s="365">
        <f>SUM(K1057:K1058)</f>
        <v>828920.25</v>
      </c>
      <c r="L1059" s="380"/>
      <c r="M1059" s="378"/>
      <c r="N1059" s="368">
        <f>AVERAGE(N1057:N1058)</f>
        <v>1</v>
      </c>
      <c r="O1059" s="462"/>
      <c r="P1059" s="176"/>
      <c r="Q1059" s="446"/>
      <c r="R1059" s="335"/>
      <c r="S1059" s="2"/>
      <c r="T1059" s="2"/>
      <c r="U1059" s="2"/>
      <c r="V1059" s="2"/>
    </row>
    <row r="1060" spans="1:22" s="6" customFormat="1" ht="33" x14ac:dyDescent="0.25">
      <c r="A1060" s="1012">
        <v>14</v>
      </c>
      <c r="B1060" s="1004" t="s">
        <v>234</v>
      </c>
      <c r="C1060" s="162" t="s">
        <v>35</v>
      </c>
      <c r="D1060" s="162">
        <v>813565.54</v>
      </c>
      <c r="E1060" s="162" t="s">
        <v>978</v>
      </c>
      <c r="F1060" s="162" t="s">
        <v>979</v>
      </c>
      <c r="G1060" s="353">
        <v>938131.86</v>
      </c>
      <c r="H1060" s="161">
        <v>42612</v>
      </c>
      <c r="I1060" s="161">
        <v>42612</v>
      </c>
      <c r="J1060" s="162">
        <v>773577.05</v>
      </c>
      <c r="K1060" s="162">
        <v>773577.05</v>
      </c>
      <c r="L1060" s="161">
        <v>42699</v>
      </c>
      <c r="M1060" s="199"/>
      <c r="N1060" s="200">
        <v>1</v>
      </c>
      <c r="O1060" s="453"/>
      <c r="P1060" s="176"/>
      <c r="Q1060" s="446" t="s">
        <v>1131</v>
      </c>
      <c r="R1060" s="676"/>
      <c r="S1060" s="9"/>
      <c r="T1060" s="9"/>
      <c r="U1060" s="9"/>
      <c r="V1060" s="9"/>
    </row>
    <row r="1061" spans="1:22" s="8" customFormat="1" ht="49.5" outlineLevel="1" x14ac:dyDescent="0.25">
      <c r="A1061" s="1013"/>
      <c r="B1061" s="1005"/>
      <c r="C1061" s="356" t="s">
        <v>37</v>
      </c>
      <c r="D1061" s="357">
        <v>56141.42</v>
      </c>
      <c r="E1061" s="361" t="s">
        <v>550</v>
      </c>
      <c r="F1061" s="358" t="s">
        <v>541</v>
      </c>
      <c r="G1061" s="359">
        <f>47623.27*1.18</f>
        <v>56195.458599999991</v>
      </c>
      <c r="H1061" s="360">
        <v>42460</v>
      </c>
      <c r="I1061" s="360">
        <v>42593</v>
      </c>
      <c r="J1061" s="361">
        <v>56141.42</v>
      </c>
      <c r="K1061" s="361">
        <v>56141.42</v>
      </c>
      <c r="L1061" s="360"/>
      <c r="M1061" s="361"/>
      <c r="N1061" s="362"/>
      <c r="O1061" s="466" t="s">
        <v>718</v>
      </c>
      <c r="P1061" s="176"/>
      <c r="Q1061" s="446"/>
      <c r="R1061" s="335"/>
      <c r="S1061" s="2"/>
      <c r="T1061" s="2"/>
      <c r="U1061" s="2"/>
      <c r="V1061" s="2"/>
    </row>
    <row r="1062" spans="1:22" s="8" customFormat="1" ht="17.25" outlineLevel="1" thickBot="1" x14ac:dyDescent="0.3">
      <c r="A1062" s="1006" t="s">
        <v>628</v>
      </c>
      <c r="B1062" s="1007"/>
      <c r="C1062" s="454"/>
      <c r="D1062" s="365">
        <f>SUM(D1060:D1061)</f>
        <v>869706.96000000008</v>
      </c>
      <c r="E1062" s="677"/>
      <c r="F1062" s="677"/>
      <c r="G1062" s="366">
        <f>SUM(G1060:G1061)</f>
        <v>994327.3186</v>
      </c>
      <c r="H1062" s="309"/>
      <c r="I1062" s="321"/>
      <c r="J1062" s="191">
        <f>SUM(J1060:J1061)</f>
        <v>829718.47000000009</v>
      </c>
      <c r="K1062" s="365">
        <f>SUM(K1060:K1061)</f>
        <v>829718.47000000009</v>
      </c>
      <c r="L1062" s="367"/>
      <c r="M1062" s="365"/>
      <c r="N1062" s="368">
        <f>AVERAGE(N1060:N1061)</f>
        <v>1</v>
      </c>
      <c r="O1062" s="455"/>
      <c r="P1062" s="176"/>
      <c r="Q1062" s="446"/>
      <c r="R1062" s="335"/>
      <c r="S1062" s="2"/>
      <c r="T1062" s="2"/>
      <c r="U1062" s="2"/>
      <c r="V1062" s="2"/>
    </row>
    <row r="1063" spans="1:22" s="6" customFormat="1" ht="33" x14ac:dyDescent="0.25">
      <c r="A1063" s="1012">
        <v>15</v>
      </c>
      <c r="B1063" s="1004" t="s">
        <v>235</v>
      </c>
      <c r="C1063" s="162" t="s">
        <v>35</v>
      </c>
      <c r="D1063" s="162">
        <v>813565.54</v>
      </c>
      <c r="E1063" s="162" t="s">
        <v>978</v>
      </c>
      <c r="F1063" s="162" t="s">
        <v>979</v>
      </c>
      <c r="G1063" s="353">
        <v>938131.86</v>
      </c>
      <c r="H1063" s="161">
        <v>42612</v>
      </c>
      <c r="I1063" s="161">
        <v>42612</v>
      </c>
      <c r="J1063" s="162">
        <v>773577.05</v>
      </c>
      <c r="K1063" s="162">
        <v>773577.05</v>
      </c>
      <c r="L1063" s="161">
        <v>42699</v>
      </c>
      <c r="M1063" s="199"/>
      <c r="N1063" s="200">
        <v>1</v>
      </c>
      <c r="O1063" s="453"/>
      <c r="P1063" s="176"/>
      <c r="Q1063" s="446" t="s">
        <v>1131</v>
      </c>
      <c r="R1063" s="676"/>
      <c r="S1063" s="9"/>
      <c r="T1063" s="9"/>
      <c r="U1063" s="9"/>
      <c r="V1063" s="9"/>
    </row>
    <row r="1064" spans="1:22" s="8" customFormat="1" ht="49.5" outlineLevel="1" x14ac:dyDescent="0.25">
      <c r="A1064" s="1013"/>
      <c r="B1064" s="1005"/>
      <c r="C1064" s="356" t="s">
        <v>37</v>
      </c>
      <c r="D1064" s="357">
        <v>55153.37</v>
      </c>
      <c r="E1064" s="361" t="s">
        <v>550</v>
      </c>
      <c r="F1064" s="358" t="s">
        <v>541</v>
      </c>
      <c r="G1064" s="359">
        <f>46785.13*1.18</f>
        <v>55206.453399999991</v>
      </c>
      <c r="H1064" s="360">
        <v>42460</v>
      </c>
      <c r="I1064" s="360">
        <v>42593</v>
      </c>
      <c r="J1064" s="361">
        <v>55153.37</v>
      </c>
      <c r="K1064" s="361">
        <v>55153.37</v>
      </c>
      <c r="L1064" s="360"/>
      <c r="M1064" s="361"/>
      <c r="N1064" s="362"/>
      <c r="O1064" s="466" t="s">
        <v>718</v>
      </c>
      <c r="P1064" s="176"/>
      <c r="Q1064" s="446"/>
      <c r="R1064" s="335"/>
      <c r="S1064" s="2"/>
      <c r="T1064" s="2"/>
      <c r="U1064" s="2"/>
      <c r="V1064" s="2"/>
    </row>
    <row r="1065" spans="1:22" s="8" customFormat="1" ht="17.25" outlineLevel="1" thickBot="1" x14ac:dyDescent="0.3">
      <c r="A1065" s="1006" t="s">
        <v>628</v>
      </c>
      <c r="B1065" s="1007"/>
      <c r="C1065" s="454"/>
      <c r="D1065" s="365">
        <f>SUM(D1063:D1064)</f>
        <v>868718.91</v>
      </c>
      <c r="E1065" s="677"/>
      <c r="F1065" s="677"/>
      <c r="G1065" s="366">
        <f>SUM(G1063:G1064)</f>
        <v>993338.31339999998</v>
      </c>
      <c r="H1065" s="677"/>
      <c r="I1065" s="321"/>
      <c r="J1065" s="191">
        <f>SUM(J1063:J1064)</f>
        <v>828730.42</v>
      </c>
      <c r="K1065" s="365">
        <f>SUM(K1063:K1064)</f>
        <v>828730.42</v>
      </c>
      <c r="L1065" s="367"/>
      <c r="M1065" s="365"/>
      <c r="N1065" s="368">
        <f>AVERAGE(N1063:N1064)</f>
        <v>1</v>
      </c>
      <c r="O1065" s="455"/>
      <c r="P1065" s="176"/>
      <c r="Q1065" s="446"/>
      <c r="R1065" s="335"/>
      <c r="S1065" s="2"/>
      <c r="T1065" s="2"/>
      <c r="U1065" s="2"/>
      <c r="V1065" s="2"/>
    </row>
    <row r="1066" spans="1:22" s="8" customFormat="1" ht="17.25" outlineLevel="1" thickBot="1" x14ac:dyDescent="0.3">
      <c r="A1066" s="1158" t="s">
        <v>1097</v>
      </c>
      <c r="B1066" s="1159"/>
      <c r="C1066" s="1079"/>
      <c r="D1066" s="437">
        <v>1068188.98</v>
      </c>
      <c r="E1066" s="438"/>
      <c r="F1066" s="679"/>
      <c r="G1066" s="437">
        <f>SUM(G1067:G1074)</f>
        <v>1068188.98</v>
      </c>
      <c r="H1066" s="680"/>
      <c r="I1066" s="442"/>
      <c r="J1066" s="437"/>
      <c r="K1066" s="437"/>
      <c r="L1066" s="443"/>
      <c r="M1066" s="437"/>
      <c r="N1066" s="444"/>
      <c r="O1066" s="445"/>
      <c r="P1066" s="176"/>
      <c r="Q1066" s="446"/>
      <c r="R1066" s="335"/>
      <c r="S1066" s="2"/>
      <c r="T1066" s="2"/>
      <c r="U1066" s="2"/>
      <c r="V1066" s="2"/>
    </row>
    <row r="1067" spans="1:22" s="8" customFormat="1" ht="30" customHeight="1" outlineLevel="1" x14ac:dyDescent="0.25">
      <c r="A1067" s="1136"/>
      <c r="B1067" s="604" t="s">
        <v>1199</v>
      </c>
      <c r="C1067" s="339" t="s">
        <v>37</v>
      </c>
      <c r="D1067" s="575"/>
      <c r="E1067" s="1141" t="s">
        <v>1198</v>
      </c>
      <c r="F1067" s="987" t="s">
        <v>541</v>
      </c>
      <c r="G1067" s="575">
        <v>56429.95</v>
      </c>
      <c r="H1067" s="1142">
        <v>42755</v>
      </c>
      <c r="I1067" s="981"/>
      <c r="J1067" s="576"/>
      <c r="K1067" s="576"/>
      <c r="L1067" s="644"/>
      <c r="M1067" s="576"/>
      <c r="N1067" s="611"/>
      <c r="O1067" s="578"/>
      <c r="P1067" s="176"/>
      <c r="Q1067" s="446"/>
      <c r="R1067" s="335"/>
      <c r="S1067" s="2"/>
      <c r="T1067" s="2"/>
      <c r="U1067" s="2"/>
      <c r="V1067" s="2"/>
    </row>
    <row r="1068" spans="1:22" s="8" customFormat="1" ht="29.25" customHeight="1" outlineLevel="1" x14ac:dyDescent="0.25">
      <c r="A1068" s="1143"/>
      <c r="B1068" s="604" t="s">
        <v>1200</v>
      </c>
      <c r="C1068" s="339" t="s">
        <v>37</v>
      </c>
      <c r="D1068" s="681"/>
      <c r="E1068" s="997"/>
      <c r="F1068" s="988"/>
      <c r="G1068" s="681">
        <v>76478.36</v>
      </c>
      <c r="H1068" s="980"/>
      <c r="I1068" s="982"/>
      <c r="J1068" s="576"/>
      <c r="K1068" s="576"/>
      <c r="L1068" s="644"/>
      <c r="M1068" s="576"/>
      <c r="N1068" s="611"/>
      <c r="O1068" s="578"/>
      <c r="P1068" s="176"/>
      <c r="Q1068" s="446"/>
      <c r="R1068" s="335"/>
      <c r="S1068" s="2"/>
      <c r="T1068" s="2"/>
      <c r="U1068" s="2"/>
      <c r="V1068" s="2"/>
    </row>
    <row r="1069" spans="1:22" s="8" customFormat="1" ht="29.25" customHeight="1" outlineLevel="1" x14ac:dyDescent="0.25">
      <c r="A1069" s="1143"/>
      <c r="B1069" s="604" t="s">
        <v>1201</v>
      </c>
      <c r="C1069" s="339" t="s">
        <v>37</v>
      </c>
      <c r="D1069" s="339"/>
      <c r="E1069" s="997"/>
      <c r="F1069" s="988"/>
      <c r="G1069" s="339">
        <v>344849.54</v>
      </c>
      <c r="H1069" s="980"/>
      <c r="I1069" s="982"/>
      <c r="J1069" s="576"/>
      <c r="K1069" s="576"/>
      <c r="L1069" s="644"/>
      <c r="M1069" s="576"/>
      <c r="N1069" s="611"/>
      <c r="O1069" s="578"/>
      <c r="P1069" s="176"/>
      <c r="Q1069" s="446"/>
      <c r="R1069" s="335"/>
      <c r="S1069" s="2"/>
      <c r="T1069" s="2"/>
      <c r="U1069" s="2"/>
      <c r="V1069" s="2"/>
    </row>
    <row r="1070" spans="1:22" s="8" customFormat="1" ht="30.75" customHeight="1" outlineLevel="1" x14ac:dyDescent="0.25">
      <c r="A1070" s="1143"/>
      <c r="B1070" s="604" t="s">
        <v>1202</v>
      </c>
      <c r="C1070" s="339" t="s">
        <v>37</v>
      </c>
      <c r="D1070" s="339"/>
      <c r="E1070" s="997"/>
      <c r="F1070" s="988"/>
      <c r="G1070" s="339">
        <v>128947.44</v>
      </c>
      <c r="H1070" s="980"/>
      <c r="I1070" s="982"/>
      <c r="J1070" s="576"/>
      <c r="K1070" s="576"/>
      <c r="L1070" s="644"/>
      <c r="M1070" s="576"/>
      <c r="N1070" s="611"/>
      <c r="O1070" s="578"/>
      <c r="P1070" s="176"/>
      <c r="Q1070" s="446"/>
      <c r="R1070" s="335"/>
      <c r="S1070" s="2"/>
      <c r="T1070" s="2"/>
      <c r="U1070" s="2"/>
      <c r="V1070" s="2"/>
    </row>
    <row r="1071" spans="1:22" s="8" customFormat="1" ht="30.75" customHeight="1" outlineLevel="1" x14ac:dyDescent="0.25">
      <c r="A1071" s="1143"/>
      <c r="B1071" s="604" t="s">
        <v>1203</v>
      </c>
      <c r="C1071" s="339" t="s">
        <v>37</v>
      </c>
      <c r="D1071" s="339"/>
      <c r="E1071" s="997"/>
      <c r="F1071" s="988"/>
      <c r="G1071" s="339">
        <v>136413.43</v>
      </c>
      <c r="H1071" s="980"/>
      <c r="I1071" s="982"/>
      <c r="J1071" s="576"/>
      <c r="K1071" s="576"/>
      <c r="L1071" s="644"/>
      <c r="M1071" s="576"/>
      <c r="N1071" s="611"/>
      <c r="O1071" s="578"/>
      <c r="P1071" s="176"/>
      <c r="Q1071" s="446"/>
      <c r="R1071" s="335"/>
      <c r="S1071" s="2"/>
      <c r="T1071" s="2"/>
      <c r="U1071" s="2"/>
      <c r="V1071" s="2"/>
    </row>
    <row r="1072" spans="1:22" s="8" customFormat="1" ht="30" customHeight="1" outlineLevel="1" x14ac:dyDescent="0.25">
      <c r="A1072" s="1143"/>
      <c r="B1072" s="604" t="s">
        <v>1204</v>
      </c>
      <c r="C1072" s="339" t="s">
        <v>37</v>
      </c>
      <c r="D1072" s="339"/>
      <c r="E1072" s="997"/>
      <c r="F1072" s="988"/>
      <c r="G1072" s="339">
        <v>53688.34</v>
      </c>
      <c r="H1072" s="980"/>
      <c r="I1072" s="982"/>
      <c r="J1072" s="576"/>
      <c r="K1072" s="576"/>
      <c r="L1072" s="644"/>
      <c r="M1072" s="576"/>
      <c r="N1072" s="611"/>
      <c r="O1072" s="578"/>
      <c r="P1072" s="176"/>
      <c r="Q1072" s="446"/>
      <c r="R1072" s="335"/>
      <c r="S1072" s="2"/>
      <c r="T1072" s="2"/>
      <c r="U1072" s="2"/>
      <c r="V1072" s="2"/>
    </row>
    <row r="1073" spans="1:22" s="8" customFormat="1" ht="29.25" customHeight="1" outlineLevel="1" x14ac:dyDescent="0.25">
      <c r="A1073" s="1143"/>
      <c r="B1073" s="604" t="s">
        <v>1205</v>
      </c>
      <c r="C1073" s="339" t="s">
        <v>37</v>
      </c>
      <c r="D1073" s="339"/>
      <c r="E1073" s="997"/>
      <c r="F1073" s="988"/>
      <c r="G1073" s="339">
        <v>127557.99</v>
      </c>
      <c r="H1073" s="980"/>
      <c r="I1073" s="982"/>
      <c r="J1073" s="576"/>
      <c r="K1073" s="576"/>
      <c r="L1073" s="644"/>
      <c r="M1073" s="576"/>
      <c r="N1073" s="611"/>
      <c r="O1073" s="578"/>
      <c r="P1073" s="176"/>
      <c r="Q1073" s="446"/>
      <c r="R1073" s="335"/>
      <c r="S1073" s="2"/>
      <c r="T1073" s="2"/>
      <c r="U1073" s="2"/>
      <c r="V1073" s="2"/>
    </row>
    <row r="1074" spans="1:22" s="8" customFormat="1" ht="30.75" customHeight="1" outlineLevel="1" thickBot="1" x14ac:dyDescent="0.3">
      <c r="A1074" s="1143"/>
      <c r="B1074" s="682" t="s">
        <v>1206</v>
      </c>
      <c r="C1074" s="585" t="s">
        <v>37</v>
      </c>
      <c r="D1074" s="585"/>
      <c r="E1074" s="997"/>
      <c r="F1074" s="988"/>
      <c r="G1074" s="481">
        <v>143823.93</v>
      </c>
      <c r="H1074" s="980"/>
      <c r="I1074" s="982"/>
      <c r="J1074" s="576"/>
      <c r="K1074" s="576"/>
      <c r="L1074" s="644"/>
      <c r="M1074" s="576"/>
      <c r="N1074" s="611"/>
      <c r="O1074" s="578"/>
      <c r="P1074" s="176"/>
      <c r="Q1074" s="446"/>
      <c r="R1074" s="335"/>
      <c r="S1074" s="2"/>
      <c r="T1074" s="2"/>
      <c r="U1074" s="2"/>
      <c r="V1074" s="2"/>
    </row>
    <row r="1075" spans="1:22" s="8" customFormat="1" ht="17.25" outlineLevel="1" thickBot="1" x14ac:dyDescent="0.3">
      <c r="A1075" s="1056" t="s">
        <v>629</v>
      </c>
      <c r="B1075" s="1057"/>
      <c r="C1075" s="683"/>
      <c r="D1075" s="149">
        <f>SUM(D1065,D1062,D1059,D1056,D1053,D1050,D1046,D1042,D1039,D1036,D1033,D1030,D1025,D1021,D1017,D1066)</f>
        <v>39529640.839999996</v>
      </c>
      <c r="E1075" s="683"/>
      <c r="F1075" s="683"/>
      <c r="G1075" s="423">
        <f>SUM(G1066,G1065,G1062,G1059,G1056,G1053,G1050,G1046,G1042,G1039,G1036,G1033,G1030,G1025,G1021,G1017)</f>
        <v>43822665.364599995</v>
      </c>
      <c r="H1075" s="683"/>
      <c r="I1075" s="449"/>
      <c r="J1075" s="149">
        <f>SUM(J1065,J1062,J1059,J1056,J1053,J1050,J1046,J1042,J1039,J1036,J1033,J1030,J1025,J1021,J1017)</f>
        <v>36434706.730000004</v>
      </c>
      <c r="K1075" s="149">
        <f>SUM(K1065,K1062,K1059,K1056,K1053,K1050,K1046,K1042,K1039,K1036,K1033,K1030,K1025,K1021,K1017)</f>
        <v>36434706.730000004</v>
      </c>
      <c r="L1075" s="154"/>
      <c r="M1075" s="149"/>
      <c r="N1075" s="587">
        <f>AVERAGE(N1065,N1062,N1059,N1056,N1053,N1050,N1046,N1042,N1039,N1036,N1033,N1030,N1025,N1021,N1017)</f>
        <v>1</v>
      </c>
      <c r="O1075" s="684"/>
      <c r="P1075" s="176"/>
      <c r="Q1075" s="446"/>
      <c r="R1075" s="335"/>
      <c r="S1075" s="2"/>
      <c r="T1075" s="2"/>
      <c r="U1075" s="2"/>
      <c r="V1075" s="2"/>
    </row>
    <row r="1076" spans="1:22" s="6" customFormat="1" ht="30.75" customHeight="1" thickBot="1" x14ac:dyDescent="0.3">
      <c r="A1076" s="1032" t="s">
        <v>642</v>
      </c>
      <c r="B1076" s="1033"/>
      <c r="C1076" s="1033"/>
      <c r="D1076" s="1033"/>
      <c r="E1076" s="1033"/>
      <c r="F1076" s="1033"/>
      <c r="G1076" s="1033"/>
      <c r="H1076" s="1033"/>
      <c r="I1076" s="1033"/>
      <c r="J1076" s="1033"/>
      <c r="K1076" s="1033"/>
      <c r="L1076" s="1033"/>
      <c r="M1076" s="1033"/>
      <c r="N1076" s="1033"/>
      <c r="O1076" s="1033"/>
      <c r="P1076" s="176"/>
      <c r="Q1076" s="446"/>
      <c r="R1076" s="676"/>
      <c r="S1076" s="9"/>
      <c r="T1076" s="9"/>
      <c r="U1076" s="9"/>
      <c r="V1076" s="9"/>
    </row>
    <row r="1077" spans="1:22" s="5" customFormat="1" ht="44.25" customHeight="1" x14ac:dyDescent="0.25">
      <c r="A1077" s="396">
        <v>1</v>
      </c>
      <c r="B1077" s="397" t="s">
        <v>240</v>
      </c>
      <c r="C1077" s="197" t="s">
        <v>500</v>
      </c>
      <c r="D1077" s="162">
        <v>3668101.98</v>
      </c>
      <c r="E1077" s="197" t="s">
        <v>669</v>
      </c>
      <c r="F1077" s="197" t="s">
        <v>670</v>
      </c>
      <c r="G1077" s="353">
        <v>4658654.3</v>
      </c>
      <c r="H1077" s="161">
        <v>42504</v>
      </c>
      <c r="I1077" s="161">
        <v>42503</v>
      </c>
      <c r="J1077" s="162">
        <v>3668101.98</v>
      </c>
      <c r="K1077" s="162">
        <v>3668101.98</v>
      </c>
      <c r="L1077" s="161"/>
      <c r="M1077" s="162">
        <f>J1077-D1077</f>
        <v>0</v>
      </c>
      <c r="N1077" s="200">
        <v>1</v>
      </c>
      <c r="O1077" s="382"/>
      <c r="P1077" s="176"/>
      <c r="Q1077" s="177"/>
      <c r="R1077" s="168"/>
      <c r="S1077" s="24"/>
      <c r="T1077" s="19"/>
      <c r="U1077" s="19"/>
      <c r="V1077" s="19"/>
    </row>
    <row r="1078" spans="1:22" ht="17.25" outlineLevel="1" thickBot="1" x14ac:dyDescent="0.3">
      <c r="A1078" s="1010" t="s">
        <v>628</v>
      </c>
      <c r="B1078" s="1011"/>
      <c r="C1078" s="377"/>
      <c r="D1078" s="378">
        <f>SUM(D1077:D1077)</f>
        <v>3668101.98</v>
      </c>
      <c r="E1078" s="247"/>
      <c r="F1078" s="247"/>
      <c r="G1078" s="379">
        <f>SUM(G1077:G1077)</f>
        <v>4658654.3</v>
      </c>
      <c r="H1078" s="308"/>
      <c r="I1078" s="277"/>
      <c r="J1078" s="378">
        <f>SUM(J1077:J1077)</f>
        <v>3668101.98</v>
      </c>
      <c r="K1078" s="378">
        <f>SUM(K1077:K1077)</f>
        <v>3668101.98</v>
      </c>
      <c r="L1078" s="380"/>
      <c r="M1078" s="378"/>
      <c r="N1078" s="395">
        <f>AVERAGE(N1077)</f>
        <v>1</v>
      </c>
      <c r="O1078" s="381"/>
      <c r="P1078" s="176"/>
      <c r="Q1078" s="177"/>
      <c r="R1078" s="132"/>
      <c r="S1078" s="21"/>
    </row>
    <row r="1079" spans="1:22" s="5" customFormat="1" ht="45.75" customHeight="1" x14ac:dyDescent="0.25">
      <c r="A1079" s="396">
        <v>2</v>
      </c>
      <c r="B1079" s="397" t="s">
        <v>238</v>
      </c>
      <c r="C1079" s="197" t="s">
        <v>500</v>
      </c>
      <c r="D1079" s="162">
        <v>4028144.76</v>
      </c>
      <c r="E1079" s="197" t="s">
        <v>669</v>
      </c>
      <c r="F1079" s="197" t="s">
        <v>670</v>
      </c>
      <c r="G1079" s="353">
        <v>3473493.2</v>
      </c>
      <c r="H1079" s="161">
        <v>42504</v>
      </c>
      <c r="I1079" s="161">
        <v>42503</v>
      </c>
      <c r="J1079" s="162">
        <v>4028144.76</v>
      </c>
      <c r="K1079" s="162">
        <v>4028144.76</v>
      </c>
      <c r="L1079" s="161"/>
      <c r="M1079" s="162">
        <f>J1079-D1079</f>
        <v>0</v>
      </c>
      <c r="N1079" s="200">
        <v>1</v>
      </c>
      <c r="O1079" s="382"/>
      <c r="P1079" s="176"/>
      <c r="Q1079" s="177"/>
      <c r="R1079" s="132"/>
      <c r="S1079" s="21"/>
      <c r="T1079" s="18"/>
      <c r="U1079" s="19"/>
      <c r="V1079" s="19"/>
    </row>
    <row r="1080" spans="1:22" ht="17.25" outlineLevel="1" thickBot="1" x14ac:dyDescent="0.3">
      <c r="A1080" s="1006" t="s">
        <v>628</v>
      </c>
      <c r="B1080" s="1007"/>
      <c r="C1080" s="364"/>
      <c r="D1080" s="365">
        <f>SUM(D1079:D1079)</f>
        <v>4028144.76</v>
      </c>
      <c r="E1080" s="239"/>
      <c r="F1080" s="239"/>
      <c r="G1080" s="366">
        <f>SUM(G1079:G1079)</f>
        <v>3473493.2</v>
      </c>
      <c r="H1080" s="309"/>
      <c r="I1080" s="321"/>
      <c r="J1080" s="365">
        <f>SUM(J1079:J1079)</f>
        <v>4028144.76</v>
      </c>
      <c r="K1080" s="365">
        <f>SUM(K1079:K1079)</f>
        <v>4028144.76</v>
      </c>
      <c r="L1080" s="367"/>
      <c r="M1080" s="365"/>
      <c r="N1080" s="395">
        <f>AVERAGE(N1079)</f>
        <v>1</v>
      </c>
      <c r="O1080" s="369"/>
      <c r="P1080" s="176"/>
      <c r="Q1080" s="177"/>
      <c r="R1080" s="132"/>
      <c r="S1080" s="21"/>
    </row>
    <row r="1081" spans="1:22" s="5" customFormat="1" ht="40.5" customHeight="1" x14ac:dyDescent="0.25">
      <c r="A1081" s="396">
        <v>3</v>
      </c>
      <c r="B1081" s="397" t="s">
        <v>239</v>
      </c>
      <c r="C1081" s="197" t="s">
        <v>500</v>
      </c>
      <c r="D1081" s="162">
        <v>3416907.12</v>
      </c>
      <c r="E1081" s="197" t="s">
        <v>669</v>
      </c>
      <c r="F1081" s="197" t="s">
        <v>670</v>
      </c>
      <c r="G1081" s="353">
        <v>3867852.5</v>
      </c>
      <c r="H1081" s="161">
        <v>42504</v>
      </c>
      <c r="I1081" s="161">
        <v>42503</v>
      </c>
      <c r="J1081" s="162">
        <v>3416907.12</v>
      </c>
      <c r="K1081" s="162">
        <v>3416907.12</v>
      </c>
      <c r="L1081" s="161"/>
      <c r="M1081" s="162">
        <f>J1081-D1081</f>
        <v>0</v>
      </c>
      <c r="N1081" s="200">
        <v>1</v>
      </c>
      <c r="O1081" s="382"/>
      <c r="P1081" s="176"/>
      <c r="Q1081" s="177"/>
      <c r="R1081" s="168"/>
      <c r="S1081" s="21"/>
      <c r="T1081" s="19"/>
      <c r="U1081" s="19"/>
      <c r="V1081" s="19"/>
    </row>
    <row r="1082" spans="1:22" ht="17.25" outlineLevel="1" thickBot="1" x14ac:dyDescent="0.3">
      <c r="A1082" s="1006" t="s">
        <v>628</v>
      </c>
      <c r="B1082" s="1007"/>
      <c r="C1082" s="364"/>
      <c r="D1082" s="365">
        <f>SUM(D1081:D1081)</f>
        <v>3416907.12</v>
      </c>
      <c r="E1082" s="239"/>
      <c r="F1082" s="239"/>
      <c r="G1082" s="366">
        <f>SUM(G1081:G1081)</f>
        <v>3867852.5</v>
      </c>
      <c r="H1082" s="239"/>
      <c r="I1082" s="321"/>
      <c r="J1082" s="365">
        <f>SUM(J1081:J1081)</f>
        <v>3416907.12</v>
      </c>
      <c r="K1082" s="365">
        <f>SUM(K1081:K1081)</f>
        <v>3416907.12</v>
      </c>
      <c r="L1082" s="367"/>
      <c r="M1082" s="365"/>
      <c r="N1082" s="395">
        <f>AVERAGE(N1081)</f>
        <v>1</v>
      </c>
      <c r="O1082" s="369"/>
      <c r="P1082" s="176"/>
      <c r="Q1082" s="177"/>
      <c r="R1082" s="132"/>
      <c r="S1082" s="21"/>
    </row>
    <row r="1083" spans="1:22" s="5" customFormat="1" ht="33" x14ac:dyDescent="0.25">
      <c r="A1083" s="1027">
        <v>4</v>
      </c>
      <c r="B1083" s="1025" t="s">
        <v>517</v>
      </c>
      <c r="C1083" s="197" t="s">
        <v>500</v>
      </c>
      <c r="D1083" s="162">
        <v>5262457.78</v>
      </c>
      <c r="E1083" s="197" t="s">
        <v>1071</v>
      </c>
      <c r="F1083" s="197" t="s">
        <v>750</v>
      </c>
      <c r="G1083" s="353">
        <v>5262457.78</v>
      </c>
      <c r="H1083" s="161">
        <v>42713</v>
      </c>
      <c r="I1083" s="161">
        <v>42696</v>
      </c>
      <c r="J1083" s="162">
        <v>5201805.8499999996</v>
      </c>
      <c r="K1083" s="162">
        <v>5201805.8499999996</v>
      </c>
      <c r="L1083" s="161">
        <v>42705</v>
      </c>
      <c r="M1083" s="199"/>
      <c r="N1083" s="200">
        <v>1</v>
      </c>
      <c r="O1083" s="370"/>
      <c r="P1083" s="176"/>
      <c r="Q1083" s="177"/>
      <c r="R1083" s="168"/>
      <c r="S1083" s="24"/>
      <c r="T1083" s="19"/>
      <c r="U1083" s="19"/>
      <c r="V1083" s="19"/>
    </row>
    <row r="1084" spans="1:22" ht="49.5" outlineLevel="1" x14ac:dyDescent="0.25">
      <c r="A1084" s="1028"/>
      <c r="B1084" s="1026"/>
      <c r="C1084" s="294" t="s">
        <v>37</v>
      </c>
      <c r="D1084" s="180">
        <v>78871.520000000004</v>
      </c>
      <c r="E1084" s="181" t="s">
        <v>553</v>
      </c>
      <c r="F1084" s="181" t="s">
        <v>537</v>
      </c>
      <c r="G1084" s="182">
        <f>66840.27*1.18</f>
        <v>78871.518599999996</v>
      </c>
      <c r="H1084" s="183">
        <v>42430</v>
      </c>
      <c r="I1084" s="183">
        <v>42430</v>
      </c>
      <c r="J1084" s="184">
        <v>78871.520000000004</v>
      </c>
      <c r="K1084" s="184">
        <v>78871.520000000004</v>
      </c>
      <c r="L1084" s="183"/>
      <c r="M1084" s="184">
        <f>J1084-D1084</f>
        <v>0</v>
      </c>
      <c r="N1084" s="202"/>
      <c r="O1084" s="283" t="s">
        <v>721</v>
      </c>
      <c r="P1084" s="176"/>
      <c r="Q1084" s="177"/>
      <c r="R1084" s="132"/>
      <c r="S1084" s="21"/>
    </row>
    <row r="1085" spans="1:22" ht="17.25" outlineLevel="1" thickBot="1" x14ac:dyDescent="0.3">
      <c r="A1085" s="1006" t="s">
        <v>628</v>
      </c>
      <c r="B1085" s="1007"/>
      <c r="C1085" s="364"/>
      <c r="D1085" s="365">
        <f>SUM(D1083:D1084)</f>
        <v>5341329.3</v>
      </c>
      <c r="E1085" s="239"/>
      <c r="F1085" s="239"/>
      <c r="G1085" s="366">
        <f>SUM(G1083:G1084)</f>
        <v>5341329.2986000003</v>
      </c>
      <c r="H1085" s="309"/>
      <c r="I1085" s="321"/>
      <c r="J1085" s="365">
        <f>SUM(J1083:J1084)</f>
        <v>5280677.3699999992</v>
      </c>
      <c r="K1085" s="365">
        <f>SUM(K1083:K1084)</f>
        <v>5280677.3699999992</v>
      </c>
      <c r="L1085" s="367"/>
      <c r="M1085" s="365"/>
      <c r="N1085" s="368">
        <f>AVERAGE(N1083:N1084)</f>
        <v>1</v>
      </c>
      <c r="O1085" s="369"/>
      <c r="P1085" s="176"/>
      <c r="Q1085" s="177"/>
      <c r="R1085" s="132"/>
      <c r="S1085" s="21"/>
    </row>
    <row r="1086" spans="1:22" s="5" customFormat="1" ht="45.75" customHeight="1" x14ac:dyDescent="0.25">
      <c r="A1086" s="396">
        <v>5</v>
      </c>
      <c r="B1086" s="397" t="s">
        <v>241</v>
      </c>
      <c r="C1086" s="197" t="s">
        <v>500</v>
      </c>
      <c r="D1086" s="162">
        <v>3810872.48</v>
      </c>
      <c r="E1086" s="197" t="s">
        <v>668</v>
      </c>
      <c r="F1086" s="273" t="s">
        <v>666</v>
      </c>
      <c r="G1086" s="353">
        <v>3969801.6524074408</v>
      </c>
      <c r="H1086" s="161">
        <v>42491</v>
      </c>
      <c r="I1086" s="161">
        <v>42482</v>
      </c>
      <c r="J1086" s="162">
        <v>3810872.4799999995</v>
      </c>
      <c r="K1086" s="162">
        <v>3810872.48</v>
      </c>
      <c r="L1086" s="161"/>
      <c r="M1086" s="162">
        <f>J1086-D1086</f>
        <v>0</v>
      </c>
      <c r="N1086" s="200">
        <v>1</v>
      </c>
      <c r="O1086" s="382"/>
      <c r="P1086" s="176"/>
      <c r="Q1086" s="177"/>
      <c r="R1086" s="132"/>
      <c r="S1086" s="21"/>
      <c r="T1086" s="18"/>
      <c r="U1086" s="19"/>
      <c r="V1086" s="19"/>
    </row>
    <row r="1087" spans="1:22" ht="17.25" outlineLevel="1" thickBot="1" x14ac:dyDescent="0.3">
      <c r="A1087" s="1006" t="s">
        <v>628</v>
      </c>
      <c r="B1087" s="1007"/>
      <c r="C1087" s="364"/>
      <c r="D1087" s="365">
        <f>SUM(D1086:D1086)</f>
        <v>3810872.48</v>
      </c>
      <c r="E1087" s="239"/>
      <c r="F1087" s="239"/>
      <c r="G1087" s="366">
        <f>SUM(G1086:G1086)</f>
        <v>3969801.6524074408</v>
      </c>
      <c r="H1087" s="309"/>
      <c r="I1087" s="321"/>
      <c r="J1087" s="365">
        <f>SUM(J1086:J1086)</f>
        <v>3810872.4799999995</v>
      </c>
      <c r="K1087" s="365">
        <f>SUM(K1086:K1086)</f>
        <v>3810872.48</v>
      </c>
      <c r="L1087" s="367"/>
      <c r="M1087" s="365"/>
      <c r="N1087" s="395">
        <f>AVERAGE(N1086)</f>
        <v>1</v>
      </c>
      <c r="O1087" s="369"/>
      <c r="P1087" s="176"/>
      <c r="Q1087" s="177"/>
      <c r="R1087" s="132"/>
      <c r="S1087" s="21"/>
    </row>
    <row r="1088" spans="1:22" s="5" customFormat="1" ht="33" x14ac:dyDescent="0.25">
      <c r="A1088" s="1027">
        <v>6</v>
      </c>
      <c r="B1088" s="1025" t="s">
        <v>518</v>
      </c>
      <c r="C1088" s="197" t="s">
        <v>500</v>
      </c>
      <c r="D1088" s="162">
        <v>5001773.59</v>
      </c>
      <c r="E1088" s="197" t="s">
        <v>1070</v>
      </c>
      <c r="F1088" s="197" t="s">
        <v>750</v>
      </c>
      <c r="G1088" s="353">
        <v>5001773.59</v>
      </c>
      <c r="H1088" s="161">
        <v>42713</v>
      </c>
      <c r="I1088" s="161">
        <v>42696</v>
      </c>
      <c r="J1088" s="162">
        <v>5001122.4800000004</v>
      </c>
      <c r="K1088" s="162">
        <v>5001122.4800000004</v>
      </c>
      <c r="L1088" s="161">
        <v>42705</v>
      </c>
      <c r="M1088" s="162"/>
      <c r="N1088" s="200">
        <v>1</v>
      </c>
      <c r="O1088" s="370"/>
      <c r="P1088" s="176"/>
      <c r="Q1088" s="177"/>
      <c r="R1088" s="132"/>
      <c r="S1088" s="21"/>
      <c r="T1088" s="18"/>
      <c r="U1088" s="19"/>
      <c r="V1088" s="19"/>
    </row>
    <row r="1089" spans="1:22" ht="49.5" outlineLevel="1" x14ac:dyDescent="0.25">
      <c r="A1089" s="1028"/>
      <c r="B1089" s="1026"/>
      <c r="C1089" s="294" t="s">
        <v>37</v>
      </c>
      <c r="D1089" s="180">
        <v>74309.5</v>
      </c>
      <c r="E1089" s="181" t="s">
        <v>553</v>
      </c>
      <c r="F1089" s="181" t="s">
        <v>537</v>
      </c>
      <c r="G1089" s="182">
        <f>62974.15*1.18</f>
        <v>74309.497000000003</v>
      </c>
      <c r="H1089" s="183">
        <v>42430</v>
      </c>
      <c r="I1089" s="183">
        <v>42430</v>
      </c>
      <c r="J1089" s="184">
        <v>74309.5</v>
      </c>
      <c r="K1089" s="184">
        <v>74309.5</v>
      </c>
      <c r="L1089" s="183"/>
      <c r="M1089" s="184">
        <f>J1089-D1089</f>
        <v>0</v>
      </c>
      <c r="N1089" s="202"/>
      <c r="O1089" s="283" t="s">
        <v>721</v>
      </c>
      <c r="P1089" s="176"/>
      <c r="Q1089" s="177"/>
      <c r="R1089" s="132"/>
      <c r="S1089" s="21"/>
    </row>
    <row r="1090" spans="1:22" ht="17.25" outlineLevel="1" thickBot="1" x14ac:dyDescent="0.3">
      <c r="A1090" s="1010" t="s">
        <v>628</v>
      </c>
      <c r="B1090" s="1011"/>
      <c r="C1090" s="377"/>
      <c r="D1090" s="378">
        <f>SUM(D1088:D1089)</f>
        <v>5076083.09</v>
      </c>
      <c r="E1090" s="247"/>
      <c r="F1090" s="247"/>
      <c r="G1090" s="379">
        <f>SUM(G1088:G1089)</f>
        <v>5076083.0870000003</v>
      </c>
      <c r="H1090" s="308"/>
      <c r="I1090" s="277"/>
      <c r="J1090" s="378">
        <f>SUM(J1088:J1089)</f>
        <v>5075431.9800000004</v>
      </c>
      <c r="K1090" s="378">
        <f>SUM(K1088:K1089)</f>
        <v>5075431.9800000004</v>
      </c>
      <c r="L1090" s="380"/>
      <c r="M1090" s="378"/>
      <c r="N1090" s="368">
        <f>AVERAGE(N1088:N1089)</f>
        <v>1</v>
      </c>
      <c r="O1090" s="381"/>
      <c r="P1090" s="176"/>
      <c r="Q1090" s="177"/>
      <c r="R1090" s="132"/>
      <c r="S1090" s="21"/>
    </row>
    <row r="1091" spans="1:22" s="5" customFormat="1" ht="33" x14ac:dyDescent="0.25">
      <c r="A1091" s="1027">
        <v>7</v>
      </c>
      <c r="B1091" s="1025" t="s">
        <v>519</v>
      </c>
      <c r="C1091" s="197" t="s">
        <v>500</v>
      </c>
      <c r="D1091" s="162">
        <v>4776480.22</v>
      </c>
      <c r="E1091" s="197" t="s">
        <v>1070</v>
      </c>
      <c r="F1091" s="197" t="s">
        <v>750</v>
      </c>
      <c r="G1091" s="353">
        <v>4383638.12</v>
      </c>
      <c r="H1091" s="161">
        <v>42713</v>
      </c>
      <c r="I1091" s="161">
        <v>42677</v>
      </c>
      <c r="J1091" s="162">
        <v>4776480.22</v>
      </c>
      <c r="K1091" s="162">
        <v>4776480.22</v>
      </c>
      <c r="L1091" s="161"/>
      <c r="M1091" s="162"/>
      <c r="N1091" s="164">
        <v>1</v>
      </c>
      <c r="O1091" s="370"/>
      <c r="P1091" s="176"/>
      <c r="Q1091" s="177"/>
      <c r="R1091" s="132"/>
      <c r="S1091" s="21"/>
      <c r="T1091" s="19"/>
      <c r="U1091" s="19"/>
      <c r="V1091" s="19"/>
    </row>
    <row r="1092" spans="1:22" ht="49.5" outlineLevel="1" x14ac:dyDescent="0.25">
      <c r="A1092" s="1028"/>
      <c r="B1092" s="1026"/>
      <c r="C1092" s="294" t="s">
        <v>37</v>
      </c>
      <c r="D1092" s="180">
        <v>49533.41</v>
      </c>
      <c r="E1092" s="181" t="s">
        <v>553</v>
      </c>
      <c r="F1092" s="181" t="s">
        <v>537</v>
      </c>
      <c r="G1092" s="182">
        <f>41977.47*1.18</f>
        <v>49533.414599999996</v>
      </c>
      <c r="H1092" s="183">
        <v>42430</v>
      </c>
      <c r="I1092" s="183">
        <v>42430</v>
      </c>
      <c r="J1092" s="184">
        <v>49533.41</v>
      </c>
      <c r="K1092" s="184">
        <v>49533.409999999996</v>
      </c>
      <c r="L1092" s="183"/>
      <c r="M1092" s="184">
        <f>J1092-D1092</f>
        <v>0</v>
      </c>
      <c r="N1092" s="202"/>
      <c r="O1092" s="283" t="s">
        <v>721</v>
      </c>
      <c r="P1092" s="176"/>
      <c r="Q1092" s="177"/>
      <c r="R1092" s="132"/>
      <c r="S1092" s="21"/>
    </row>
    <row r="1093" spans="1:22" ht="17.25" outlineLevel="1" thickBot="1" x14ac:dyDescent="0.3">
      <c r="A1093" s="1006" t="s">
        <v>628</v>
      </c>
      <c r="B1093" s="1007"/>
      <c r="C1093" s="364"/>
      <c r="D1093" s="365">
        <f>SUM(D1091:D1092)</f>
        <v>4826013.63</v>
      </c>
      <c r="E1093" s="239"/>
      <c r="F1093" s="239"/>
      <c r="G1093" s="366">
        <f>SUM(G1091:G1092)</f>
        <v>4433171.5345999999</v>
      </c>
      <c r="H1093" s="309"/>
      <c r="I1093" s="321"/>
      <c r="J1093" s="365">
        <f>SUM(J1091:J1092)</f>
        <v>4826013.63</v>
      </c>
      <c r="K1093" s="365">
        <f>SUM(K1091:K1092)</f>
        <v>4826013.63</v>
      </c>
      <c r="L1093" s="367"/>
      <c r="M1093" s="365"/>
      <c r="N1093" s="368">
        <f>AVERAGE(N1091:N1092)</f>
        <v>1</v>
      </c>
      <c r="O1093" s="369"/>
      <c r="P1093" s="176"/>
      <c r="Q1093" s="177"/>
      <c r="R1093" s="132"/>
      <c r="S1093" s="21"/>
    </row>
    <row r="1094" spans="1:22" s="5" customFormat="1" ht="33" x14ac:dyDescent="0.25">
      <c r="A1094" s="1027">
        <v>8</v>
      </c>
      <c r="B1094" s="1025" t="s">
        <v>520</v>
      </c>
      <c r="C1094" s="197" t="s">
        <v>500</v>
      </c>
      <c r="D1094" s="162">
        <v>4081303.2</v>
      </c>
      <c r="E1094" s="197" t="s">
        <v>1070</v>
      </c>
      <c r="F1094" s="197" t="s">
        <v>750</v>
      </c>
      <c r="G1094" s="353">
        <v>4081303.2</v>
      </c>
      <c r="H1094" s="161">
        <v>42713</v>
      </c>
      <c r="I1094" s="161">
        <v>42696</v>
      </c>
      <c r="J1094" s="162">
        <v>4335968.0599999996</v>
      </c>
      <c r="K1094" s="162">
        <v>4335968.0599999996</v>
      </c>
      <c r="L1094" s="161">
        <v>42705</v>
      </c>
      <c r="M1094" s="162"/>
      <c r="N1094" s="200">
        <v>1</v>
      </c>
      <c r="O1094" s="370"/>
      <c r="P1094" s="176"/>
      <c r="Q1094" s="177"/>
      <c r="R1094" s="132"/>
      <c r="S1094" s="21"/>
      <c r="T1094" s="18"/>
      <c r="U1094" s="19"/>
      <c r="V1094" s="19"/>
    </row>
    <row r="1095" spans="1:22" ht="49.5" outlineLevel="1" x14ac:dyDescent="0.25">
      <c r="A1095" s="1028"/>
      <c r="B1095" s="1026"/>
      <c r="C1095" s="294" t="s">
        <v>37</v>
      </c>
      <c r="D1095" s="180">
        <v>77557.27</v>
      </c>
      <c r="E1095" s="181" t="s">
        <v>553</v>
      </c>
      <c r="F1095" s="181" t="s">
        <v>537</v>
      </c>
      <c r="G1095" s="182">
        <f>65726.5*1.18</f>
        <v>77557.26999999999</v>
      </c>
      <c r="H1095" s="183">
        <v>42430</v>
      </c>
      <c r="I1095" s="183">
        <v>42430</v>
      </c>
      <c r="J1095" s="184">
        <v>77557.27</v>
      </c>
      <c r="K1095" s="184">
        <v>77557.26999999999</v>
      </c>
      <c r="L1095" s="183"/>
      <c r="M1095" s="184">
        <f>J1095-D1095</f>
        <v>0</v>
      </c>
      <c r="N1095" s="202"/>
      <c r="O1095" s="283" t="s">
        <v>721</v>
      </c>
      <c r="P1095" s="176"/>
      <c r="Q1095" s="446"/>
      <c r="R1095" s="335"/>
      <c r="S1095" s="21"/>
    </row>
    <row r="1096" spans="1:22" ht="17.25" outlineLevel="1" thickBot="1" x14ac:dyDescent="0.3">
      <c r="A1096" s="1006" t="s">
        <v>628</v>
      </c>
      <c r="B1096" s="1007"/>
      <c r="C1096" s="364"/>
      <c r="D1096" s="365">
        <f>SUM(D1094:D1095)</f>
        <v>4158860.47</v>
      </c>
      <c r="E1096" s="239"/>
      <c r="F1096" s="239"/>
      <c r="G1096" s="366">
        <f>SUM(G1094:G1095)</f>
        <v>4158860.47</v>
      </c>
      <c r="H1096" s="239"/>
      <c r="I1096" s="321"/>
      <c r="J1096" s="365">
        <f>SUM(J1094:J1095)</f>
        <v>4413525.3299999991</v>
      </c>
      <c r="K1096" s="365">
        <f>SUM(K1094:K1095)</f>
        <v>4413525.3299999991</v>
      </c>
      <c r="L1096" s="367"/>
      <c r="M1096" s="365"/>
      <c r="N1096" s="368">
        <f>AVERAGE(N1094:N1095)</f>
        <v>1</v>
      </c>
      <c r="O1096" s="369"/>
      <c r="P1096" s="176"/>
      <c r="Q1096" s="177"/>
      <c r="R1096" s="132"/>
      <c r="S1096" s="21"/>
    </row>
    <row r="1097" spans="1:22" s="5" customFormat="1" ht="33" x14ac:dyDescent="0.25">
      <c r="A1097" s="1027">
        <v>9</v>
      </c>
      <c r="B1097" s="1025" t="s">
        <v>521</v>
      </c>
      <c r="C1097" s="197" t="s">
        <v>500</v>
      </c>
      <c r="D1097" s="162">
        <v>2569484.7799999998</v>
      </c>
      <c r="E1097" s="197" t="s">
        <v>1070</v>
      </c>
      <c r="F1097" s="197" t="s">
        <v>750</v>
      </c>
      <c r="G1097" s="353">
        <v>2466546.2599999998</v>
      </c>
      <c r="H1097" s="161">
        <v>42713</v>
      </c>
      <c r="I1097" s="161">
        <v>42677</v>
      </c>
      <c r="J1097" s="162">
        <v>2569484.7799999998</v>
      </c>
      <c r="K1097" s="162">
        <v>2569484.7799999998</v>
      </c>
      <c r="L1097" s="161">
        <v>2569484.7799999998</v>
      </c>
      <c r="M1097" s="162"/>
      <c r="N1097" s="200">
        <v>1</v>
      </c>
      <c r="O1097" s="162"/>
      <c r="P1097" s="221"/>
      <c r="Q1097" s="221"/>
      <c r="R1097" s="221"/>
      <c r="S1097" s="21"/>
      <c r="T1097" s="18"/>
      <c r="U1097" s="19"/>
      <c r="V1097" s="19"/>
    </row>
    <row r="1098" spans="1:22" ht="49.5" outlineLevel="1" x14ac:dyDescent="0.25">
      <c r="A1098" s="1028"/>
      <c r="B1098" s="1026"/>
      <c r="C1098" s="294" t="s">
        <v>37</v>
      </c>
      <c r="D1098" s="180">
        <v>66457.679999999993</v>
      </c>
      <c r="E1098" s="181" t="s">
        <v>553</v>
      </c>
      <c r="F1098" s="181" t="s">
        <v>537</v>
      </c>
      <c r="G1098" s="182">
        <f>56320.08*1.18</f>
        <v>66457.694399999993</v>
      </c>
      <c r="H1098" s="183">
        <v>42430</v>
      </c>
      <c r="I1098" s="183">
        <v>42430</v>
      </c>
      <c r="J1098" s="184">
        <v>66457.679999999993</v>
      </c>
      <c r="K1098" s="184">
        <v>66457.679999999993</v>
      </c>
      <c r="L1098" s="183"/>
      <c r="M1098" s="184">
        <f>J1098-D1098</f>
        <v>0</v>
      </c>
      <c r="N1098" s="202"/>
      <c r="O1098" s="283" t="s">
        <v>721</v>
      </c>
      <c r="P1098" s="176"/>
      <c r="Q1098" s="177"/>
      <c r="R1098" s="132"/>
      <c r="S1098" s="21"/>
    </row>
    <row r="1099" spans="1:22" ht="17.25" outlineLevel="1" thickBot="1" x14ac:dyDescent="0.3">
      <c r="A1099" s="1006" t="s">
        <v>628</v>
      </c>
      <c r="B1099" s="1007"/>
      <c r="C1099" s="364"/>
      <c r="D1099" s="365">
        <f>SUM(D1097:D1098)</f>
        <v>2635942.46</v>
      </c>
      <c r="E1099" s="188"/>
      <c r="F1099" s="188"/>
      <c r="G1099" s="366">
        <f>SUM(G1097:G1098)</f>
        <v>2533003.9543999997</v>
      </c>
      <c r="H1099" s="188"/>
      <c r="I1099" s="190"/>
      <c r="J1099" s="365">
        <f>SUM(J1097:J1098)</f>
        <v>2635942.46</v>
      </c>
      <c r="K1099" s="365">
        <f>SUM(K1097:K1098)</f>
        <v>2635942.46</v>
      </c>
      <c r="L1099" s="367"/>
      <c r="M1099" s="365"/>
      <c r="N1099" s="368">
        <f>AVERAGE(N1097:N1098)</f>
        <v>1</v>
      </c>
      <c r="O1099" s="369"/>
      <c r="P1099" s="176"/>
      <c r="Q1099" s="177"/>
      <c r="R1099" s="168"/>
      <c r="S1099" s="24"/>
      <c r="T1099" s="19"/>
    </row>
    <row r="1100" spans="1:22" s="5" customFormat="1" ht="33" x14ac:dyDescent="0.25">
      <c r="A1100" s="1027">
        <v>10</v>
      </c>
      <c r="B1100" s="1025" t="s">
        <v>259</v>
      </c>
      <c r="C1100" s="197" t="s">
        <v>500</v>
      </c>
      <c r="D1100" s="162">
        <v>3404381.42</v>
      </c>
      <c r="E1100" s="197" t="s">
        <v>1270</v>
      </c>
      <c r="F1100" s="197" t="s">
        <v>750</v>
      </c>
      <c r="G1100" s="353">
        <v>3404283.74</v>
      </c>
      <c r="H1100" s="161">
        <v>42788</v>
      </c>
      <c r="I1100" s="161">
        <v>42713</v>
      </c>
      <c r="J1100" s="162">
        <v>3669637.02</v>
      </c>
      <c r="K1100" s="162">
        <v>3669637.02</v>
      </c>
      <c r="L1100" s="161">
        <v>42725</v>
      </c>
      <c r="M1100" s="162"/>
      <c r="N1100" s="200">
        <v>0</v>
      </c>
      <c r="O1100" s="370"/>
      <c r="P1100" s="176">
        <v>2017</v>
      </c>
      <c r="Q1100" s="177"/>
      <c r="R1100" s="132"/>
      <c r="S1100" s="21"/>
      <c r="T1100" s="18"/>
      <c r="U1100" s="19"/>
      <c r="V1100" s="19"/>
    </row>
    <row r="1101" spans="1:22" ht="49.5" outlineLevel="1" x14ac:dyDescent="0.25">
      <c r="A1101" s="1028"/>
      <c r="B1101" s="1026"/>
      <c r="C1101" s="294" t="s">
        <v>37</v>
      </c>
      <c r="D1101" s="180">
        <v>69661.11</v>
      </c>
      <c r="E1101" s="181" t="s">
        <v>553</v>
      </c>
      <c r="F1101" s="181" t="s">
        <v>537</v>
      </c>
      <c r="G1101" s="182">
        <f>59034.84*1.18</f>
        <v>69661.111199999999</v>
      </c>
      <c r="H1101" s="183">
        <v>42430</v>
      </c>
      <c r="I1101" s="183">
        <v>42393</v>
      </c>
      <c r="J1101" s="184">
        <v>69661.11</v>
      </c>
      <c r="K1101" s="184">
        <v>69661.11</v>
      </c>
      <c r="L1101" s="183"/>
      <c r="M1101" s="184">
        <f>J1101-D1101</f>
        <v>0</v>
      </c>
      <c r="N1101" s="202"/>
      <c r="O1101" s="283" t="s">
        <v>721</v>
      </c>
      <c r="P1101" s="176"/>
      <c r="Q1101" s="177"/>
      <c r="R1101" s="132"/>
      <c r="S1101" s="21"/>
    </row>
    <row r="1102" spans="1:22" ht="17.25" outlineLevel="1" thickBot="1" x14ac:dyDescent="0.3">
      <c r="A1102" s="1010" t="s">
        <v>628</v>
      </c>
      <c r="B1102" s="1011"/>
      <c r="C1102" s="377"/>
      <c r="D1102" s="378">
        <f>SUM(D1100:D1101)</f>
        <v>3474042.53</v>
      </c>
      <c r="E1102" s="247"/>
      <c r="F1102" s="247"/>
      <c r="G1102" s="379">
        <f>SUM(G1100:G1101)</f>
        <v>3473944.8512000004</v>
      </c>
      <c r="H1102" s="308"/>
      <c r="I1102" s="277"/>
      <c r="J1102" s="378">
        <f>SUM(J1100:J1101)</f>
        <v>3739298.13</v>
      </c>
      <c r="K1102" s="378">
        <f>SUM(K1100:K1101)</f>
        <v>3739298.13</v>
      </c>
      <c r="L1102" s="380"/>
      <c r="M1102" s="378"/>
      <c r="N1102" s="368">
        <f>AVERAGE(N1100:N1101)</f>
        <v>0</v>
      </c>
      <c r="O1102" s="381"/>
      <c r="P1102" s="176"/>
      <c r="Q1102" s="177"/>
      <c r="R1102" s="132"/>
      <c r="S1102" s="21"/>
      <c r="T1102" s="19"/>
    </row>
    <row r="1103" spans="1:22" s="5" customFormat="1" ht="33" x14ac:dyDescent="0.25">
      <c r="A1103" s="1027">
        <v>11</v>
      </c>
      <c r="B1103" s="1025" t="s">
        <v>261</v>
      </c>
      <c r="C1103" s="197" t="s">
        <v>500</v>
      </c>
      <c r="D1103" s="162">
        <v>2307730.7200000002</v>
      </c>
      <c r="E1103" s="197" t="s">
        <v>1270</v>
      </c>
      <c r="F1103" s="197" t="s">
        <v>750</v>
      </c>
      <c r="G1103" s="353">
        <v>2307664.5</v>
      </c>
      <c r="H1103" s="161">
        <v>42788</v>
      </c>
      <c r="I1103" s="161">
        <v>42713</v>
      </c>
      <c r="J1103" s="162">
        <v>2116290.52</v>
      </c>
      <c r="K1103" s="162">
        <v>2116290.52</v>
      </c>
      <c r="L1103" s="161" t="s">
        <v>1474</v>
      </c>
      <c r="M1103" s="162"/>
      <c r="N1103" s="200">
        <v>0</v>
      </c>
      <c r="O1103" s="370"/>
      <c r="P1103" s="176">
        <v>2017</v>
      </c>
      <c r="Q1103" s="177"/>
      <c r="R1103" s="132"/>
      <c r="S1103" s="21"/>
      <c r="T1103" s="18"/>
      <c r="U1103" s="19"/>
      <c r="V1103" s="19"/>
    </row>
    <row r="1104" spans="1:22" ht="49.5" outlineLevel="1" x14ac:dyDescent="0.25">
      <c r="A1104" s="1028"/>
      <c r="B1104" s="1026"/>
      <c r="C1104" s="294" t="s">
        <v>37</v>
      </c>
      <c r="D1104" s="180">
        <v>66546.179999999993</v>
      </c>
      <c r="E1104" s="181" t="s">
        <v>553</v>
      </c>
      <c r="F1104" s="181" t="s">
        <v>537</v>
      </c>
      <c r="G1104" s="182">
        <f>56395.07*1.18</f>
        <v>66546.1826</v>
      </c>
      <c r="H1104" s="183">
        <v>42430</v>
      </c>
      <c r="I1104" s="183">
        <v>42430</v>
      </c>
      <c r="J1104" s="184">
        <v>66546.179999999993</v>
      </c>
      <c r="K1104" s="184">
        <v>66546.179999999993</v>
      </c>
      <c r="L1104" s="183"/>
      <c r="M1104" s="184">
        <f>J1104-D1104</f>
        <v>0</v>
      </c>
      <c r="N1104" s="202"/>
      <c r="O1104" s="283" t="s">
        <v>721</v>
      </c>
      <c r="P1104" s="176"/>
      <c r="Q1104" s="177"/>
      <c r="R1104" s="132"/>
      <c r="S1104" s="21"/>
    </row>
    <row r="1105" spans="1:22" ht="17.25" outlineLevel="1" thickBot="1" x14ac:dyDescent="0.3">
      <c r="A1105" s="1006" t="s">
        <v>628</v>
      </c>
      <c r="B1105" s="1007"/>
      <c r="C1105" s="364"/>
      <c r="D1105" s="365">
        <f>SUM(D1103:D1104)</f>
        <v>2374276.9000000004</v>
      </c>
      <c r="E1105" s="685"/>
      <c r="F1105" s="239"/>
      <c r="G1105" s="366">
        <f>SUM(G1103:G1104)</f>
        <v>2374210.6825999999</v>
      </c>
      <c r="H1105" s="309"/>
      <c r="I1105" s="321"/>
      <c r="J1105" s="365">
        <f>SUM(J1103:J1104)</f>
        <v>2182836.7000000002</v>
      </c>
      <c r="K1105" s="365">
        <f>SUM(K1103:K1104)</f>
        <v>2182836.7000000002</v>
      </c>
      <c r="L1105" s="367"/>
      <c r="M1105" s="365"/>
      <c r="N1105" s="368">
        <f>AVERAGE(N1103:N1104)</f>
        <v>0</v>
      </c>
      <c r="O1105" s="369"/>
      <c r="P1105" s="176"/>
      <c r="Q1105" s="177"/>
      <c r="R1105" s="132"/>
      <c r="S1105" s="21"/>
      <c r="T1105" s="19"/>
    </row>
    <row r="1106" spans="1:22" s="5" customFormat="1" ht="42.75" customHeight="1" x14ac:dyDescent="0.25">
      <c r="A1106" s="686">
        <v>12</v>
      </c>
      <c r="B1106" s="552" t="s">
        <v>242</v>
      </c>
      <c r="C1106" s="273" t="s">
        <v>500</v>
      </c>
      <c r="D1106" s="275">
        <v>8189601.4100000001</v>
      </c>
      <c r="E1106" s="273" t="s">
        <v>667</v>
      </c>
      <c r="F1106" s="273" t="s">
        <v>666</v>
      </c>
      <c r="G1106" s="486">
        <v>9887090.1058686152</v>
      </c>
      <c r="H1106" s="212">
        <v>42491</v>
      </c>
      <c r="I1106" s="212">
        <v>42505</v>
      </c>
      <c r="J1106" s="275">
        <v>8189601.4100000001</v>
      </c>
      <c r="K1106" s="275">
        <v>8189601.4100000001</v>
      </c>
      <c r="L1106" s="212"/>
      <c r="M1106" s="162">
        <f>J1106-D1106</f>
        <v>0</v>
      </c>
      <c r="N1106" s="488">
        <v>1</v>
      </c>
      <c r="O1106" s="550"/>
      <c r="P1106" s="176"/>
      <c r="Q1106" s="177"/>
      <c r="R1106" s="132"/>
      <c r="S1106" s="21"/>
      <c r="T1106" s="18"/>
      <c r="U1106" s="19"/>
      <c r="V1106" s="19"/>
    </row>
    <row r="1107" spans="1:22" ht="17.25" outlineLevel="1" thickBot="1" x14ac:dyDescent="0.3">
      <c r="A1107" s="1006" t="s">
        <v>628</v>
      </c>
      <c r="B1107" s="1007"/>
      <c r="C1107" s="364"/>
      <c r="D1107" s="365">
        <f>SUM(D1106:D1106)</f>
        <v>8189601.4100000001</v>
      </c>
      <c r="E1107" s="188"/>
      <c r="F1107" s="188"/>
      <c r="G1107" s="366">
        <f>SUM(G1106:G1106)</f>
        <v>9887090.1058686152</v>
      </c>
      <c r="H1107" s="188"/>
      <c r="I1107" s="190"/>
      <c r="J1107" s="365">
        <f>SUM(J1106:J1106)</f>
        <v>8189601.4100000001</v>
      </c>
      <c r="K1107" s="365">
        <f>SUM(K1106:K1106)</f>
        <v>8189601.4100000001</v>
      </c>
      <c r="L1107" s="367"/>
      <c r="M1107" s="365"/>
      <c r="N1107" s="395">
        <f>AVERAGE(N1106)</f>
        <v>1</v>
      </c>
      <c r="O1107" s="369"/>
      <c r="P1107" s="176"/>
      <c r="Q1107" s="177"/>
      <c r="R1107" s="168"/>
      <c r="S1107" s="24"/>
      <c r="T1107" s="19"/>
    </row>
    <row r="1108" spans="1:22" s="5" customFormat="1" ht="42.75" customHeight="1" x14ac:dyDescent="0.25">
      <c r="A1108" s="396">
        <v>13</v>
      </c>
      <c r="B1108" s="397" t="s">
        <v>243</v>
      </c>
      <c r="C1108" s="197" t="s">
        <v>500</v>
      </c>
      <c r="D1108" s="162">
        <v>2722016.64</v>
      </c>
      <c r="E1108" s="273" t="s">
        <v>667</v>
      </c>
      <c r="F1108" s="273" t="s">
        <v>666</v>
      </c>
      <c r="G1108" s="353">
        <v>3082261.9376340709</v>
      </c>
      <c r="H1108" s="161">
        <v>42491</v>
      </c>
      <c r="I1108" s="212">
        <v>42505</v>
      </c>
      <c r="J1108" s="162">
        <v>2722016.6399999997</v>
      </c>
      <c r="K1108" s="162">
        <v>2722016.64</v>
      </c>
      <c r="L1108" s="161"/>
      <c r="M1108" s="162">
        <f>J1108-D1108</f>
        <v>0</v>
      </c>
      <c r="N1108" s="200">
        <v>1</v>
      </c>
      <c r="O1108" s="382"/>
      <c r="P1108" s="176"/>
      <c r="Q1108" s="177"/>
      <c r="R1108" s="132"/>
      <c r="S1108" s="21"/>
      <c r="T1108" s="18"/>
      <c r="U1108" s="19"/>
      <c r="V1108" s="19"/>
    </row>
    <row r="1109" spans="1:22" ht="17.25" outlineLevel="1" thickBot="1" x14ac:dyDescent="0.3">
      <c r="A1109" s="1010" t="s">
        <v>628</v>
      </c>
      <c r="B1109" s="1011"/>
      <c r="C1109" s="377"/>
      <c r="D1109" s="378">
        <f>SUM(D1108:D1108)</f>
        <v>2722016.64</v>
      </c>
      <c r="E1109" s="247"/>
      <c r="F1109" s="247"/>
      <c r="G1109" s="379">
        <f>SUM(G1108:G1108)</f>
        <v>3082261.9376340709</v>
      </c>
      <c r="H1109" s="308"/>
      <c r="I1109" s="277"/>
      <c r="J1109" s="378">
        <f>SUM(J1108:J1108)</f>
        <v>2722016.6399999997</v>
      </c>
      <c r="K1109" s="378">
        <f>SUM(K1108:K1108)</f>
        <v>2722016.64</v>
      </c>
      <c r="L1109" s="380"/>
      <c r="M1109" s="378"/>
      <c r="N1109" s="395">
        <f>AVERAGE(N1108)</f>
        <v>1</v>
      </c>
      <c r="O1109" s="381"/>
      <c r="P1109" s="176"/>
      <c r="Q1109" s="177"/>
      <c r="R1109" s="132"/>
      <c r="S1109" s="21"/>
    </row>
    <row r="1110" spans="1:22" s="5" customFormat="1" ht="50.25" customHeight="1" x14ac:dyDescent="0.25">
      <c r="A1110" s="396">
        <v>14</v>
      </c>
      <c r="B1110" s="397" t="s">
        <v>244</v>
      </c>
      <c r="C1110" s="197" t="s">
        <v>500</v>
      </c>
      <c r="D1110" s="162">
        <v>4414156.97</v>
      </c>
      <c r="E1110" s="197" t="s">
        <v>667</v>
      </c>
      <c r="F1110" s="197" t="s">
        <v>666</v>
      </c>
      <c r="G1110" s="353">
        <v>5297647.9488000004</v>
      </c>
      <c r="H1110" s="161">
        <v>42491</v>
      </c>
      <c r="I1110" s="161">
        <v>42505</v>
      </c>
      <c r="J1110" s="162">
        <v>4414156.97</v>
      </c>
      <c r="K1110" s="162">
        <v>4414156.9700000007</v>
      </c>
      <c r="L1110" s="161"/>
      <c r="M1110" s="162">
        <f>J1110-D1110</f>
        <v>0</v>
      </c>
      <c r="N1110" s="200">
        <v>1</v>
      </c>
      <c r="O1110" s="382"/>
      <c r="P1110" s="176"/>
      <c r="Q1110" s="177"/>
      <c r="R1110" s="132"/>
      <c r="S1110" s="21"/>
      <c r="T1110" s="19"/>
      <c r="U1110" s="19"/>
      <c r="V1110" s="19"/>
    </row>
    <row r="1111" spans="1:22" ht="17.25" outlineLevel="1" thickBot="1" x14ac:dyDescent="0.3">
      <c r="A1111" s="1006" t="s">
        <v>628</v>
      </c>
      <c r="B1111" s="1007"/>
      <c r="C1111" s="364"/>
      <c r="D1111" s="365">
        <f>SUM(D1110:D1110)</f>
        <v>4414156.97</v>
      </c>
      <c r="E1111" s="239"/>
      <c r="F1111" s="239"/>
      <c r="G1111" s="366">
        <f>SUM(G1110:G1110)</f>
        <v>5297647.9488000004</v>
      </c>
      <c r="H1111" s="239"/>
      <c r="I1111" s="321"/>
      <c r="J1111" s="365">
        <f>SUM(J1110:J1110)</f>
        <v>4414156.97</v>
      </c>
      <c r="K1111" s="365">
        <f>SUM(K1110:K1110)</f>
        <v>4414156.9700000007</v>
      </c>
      <c r="L1111" s="367"/>
      <c r="M1111" s="365"/>
      <c r="N1111" s="368">
        <f>AVERAGE(N1110)</f>
        <v>1</v>
      </c>
      <c r="O1111" s="369"/>
      <c r="P1111" s="176"/>
      <c r="Q1111" s="177"/>
      <c r="R1111" s="132"/>
      <c r="S1111" s="21"/>
    </row>
    <row r="1112" spans="1:22" s="5" customFormat="1" ht="47.25" customHeight="1" x14ac:dyDescent="0.25">
      <c r="A1112" s="396">
        <v>15</v>
      </c>
      <c r="B1112" s="397" t="s">
        <v>245</v>
      </c>
      <c r="C1112" s="197" t="s">
        <v>500</v>
      </c>
      <c r="D1112" s="162">
        <v>17149220.84</v>
      </c>
      <c r="E1112" s="197" t="s">
        <v>672</v>
      </c>
      <c r="F1112" s="197" t="s">
        <v>670</v>
      </c>
      <c r="G1112" s="353">
        <v>17457644.210000001</v>
      </c>
      <c r="H1112" s="161">
        <v>42504</v>
      </c>
      <c r="I1112" s="161">
        <v>42503</v>
      </c>
      <c r="J1112" s="162">
        <v>17149220.84</v>
      </c>
      <c r="K1112" s="162">
        <v>17149220.84</v>
      </c>
      <c r="L1112" s="161"/>
      <c r="M1112" s="162">
        <f>J1112-D1112</f>
        <v>0</v>
      </c>
      <c r="N1112" s="200">
        <v>1</v>
      </c>
      <c r="O1112" s="382"/>
      <c r="P1112" s="176"/>
      <c r="Q1112" s="177"/>
      <c r="R1112" s="132"/>
      <c r="S1112" s="21"/>
      <c r="T1112" s="18"/>
      <c r="U1112" s="19"/>
      <c r="V1112" s="19"/>
    </row>
    <row r="1113" spans="1:22" ht="17.25" outlineLevel="1" thickBot="1" x14ac:dyDescent="0.3">
      <c r="A1113" s="1006" t="s">
        <v>628</v>
      </c>
      <c r="B1113" s="1007"/>
      <c r="C1113" s="364"/>
      <c r="D1113" s="365">
        <f>SUM(D1112:D1112)</f>
        <v>17149220.84</v>
      </c>
      <c r="E1113" s="239"/>
      <c r="F1113" s="239"/>
      <c r="G1113" s="366">
        <f>SUM(G1112:G1112)</f>
        <v>17457644.210000001</v>
      </c>
      <c r="H1113" s="309"/>
      <c r="I1113" s="321"/>
      <c r="J1113" s="365">
        <f>SUM(J1112:J1112)</f>
        <v>17149220.84</v>
      </c>
      <c r="K1113" s="365">
        <f>SUM(K1112:K1112)</f>
        <v>17149220.84</v>
      </c>
      <c r="L1113" s="367"/>
      <c r="M1113" s="365"/>
      <c r="N1113" s="395">
        <f>AVERAGE(N1112)</f>
        <v>1</v>
      </c>
      <c r="O1113" s="369"/>
      <c r="P1113" s="176"/>
      <c r="Q1113" s="177"/>
      <c r="R1113" s="132"/>
      <c r="S1113" s="21"/>
    </row>
    <row r="1114" spans="1:22" s="5" customFormat="1" ht="33" x14ac:dyDescent="0.25">
      <c r="A1114" s="1027">
        <v>16</v>
      </c>
      <c r="B1114" s="1025" t="s">
        <v>260</v>
      </c>
      <c r="C1114" s="197" t="s">
        <v>500</v>
      </c>
      <c r="D1114" s="162">
        <v>6136198.9000000004</v>
      </c>
      <c r="E1114" s="197" t="s">
        <v>1270</v>
      </c>
      <c r="F1114" s="197" t="s">
        <v>750</v>
      </c>
      <c r="G1114" s="353">
        <v>6136022.1699999999</v>
      </c>
      <c r="H1114" s="161">
        <v>42788</v>
      </c>
      <c r="I1114" s="161">
        <v>42713</v>
      </c>
      <c r="J1114" s="162">
        <v>5853251.5499999998</v>
      </c>
      <c r="K1114" s="162">
        <v>5853251.5499999998</v>
      </c>
      <c r="L1114" s="161">
        <v>42725</v>
      </c>
      <c r="M1114" s="162"/>
      <c r="N1114" s="200">
        <v>0</v>
      </c>
      <c r="O1114" s="382"/>
      <c r="P1114" s="176">
        <v>2017</v>
      </c>
      <c r="Q1114" s="177"/>
      <c r="R1114" s="132"/>
      <c r="S1114" s="21"/>
      <c r="T1114" s="18"/>
      <c r="U1114" s="19"/>
      <c r="V1114" s="19"/>
    </row>
    <row r="1115" spans="1:22" ht="49.5" outlineLevel="1" x14ac:dyDescent="0.25">
      <c r="A1115" s="1028"/>
      <c r="B1115" s="1026"/>
      <c r="C1115" s="294" t="s">
        <v>37</v>
      </c>
      <c r="D1115" s="180">
        <v>87411.46</v>
      </c>
      <c r="E1115" s="181" t="s">
        <v>553</v>
      </c>
      <c r="F1115" s="181" t="s">
        <v>537</v>
      </c>
      <c r="G1115" s="182">
        <f>74077.51*1.18</f>
        <v>87411.46179999999</v>
      </c>
      <c r="H1115" s="183">
        <v>42430</v>
      </c>
      <c r="I1115" s="183">
        <v>42393</v>
      </c>
      <c r="J1115" s="184">
        <v>87411.46</v>
      </c>
      <c r="K1115" s="184">
        <v>87411.46</v>
      </c>
      <c r="L1115" s="183"/>
      <c r="M1115" s="184">
        <f>J1115-D1115</f>
        <v>0</v>
      </c>
      <c r="N1115" s="202"/>
      <c r="O1115" s="283" t="s">
        <v>721</v>
      </c>
      <c r="P1115" s="176"/>
      <c r="Q1115" s="177"/>
      <c r="R1115" s="132"/>
      <c r="S1115" s="21"/>
      <c r="T1115" s="19"/>
    </row>
    <row r="1116" spans="1:22" ht="17.25" outlineLevel="1" thickBot="1" x14ac:dyDescent="0.3">
      <c r="A1116" s="1006" t="s">
        <v>628</v>
      </c>
      <c r="B1116" s="1007"/>
      <c r="C1116" s="364"/>
      <c r="D1116" s="365">
        <f>SUM(D1114:D1115)</f>
        <v>6223610.3600000003</v>
      </c>
      <c r="E1116" s="239"/>
      <c r="F1116" s="239"/>
      <c r="G1116" s="366">
        <f>SUM(G1114:G1115)</f>
        <v>6223433.6317999996</v>
      </c>
      <c r="H1116" s="309"/>
      <c r="I1116" s="321"/>
      <c r="J1116" s="365">
        <f>SUM(J1114:J1115)</f>
        <v>5940663.0099999998</v>
      </c>
      <c r="K1116" s="365">
        <f>SUM(K1114:K1115)</f>
        <v>5940663.0099999998</v>
      </c>
      <c r="L1116" s="367"/>
      <c r="M1116" s="365"/>
      <c r="N1116" s="368">
        <f>AVERAGE(N1114:N1115)</f>
        <v>0</v>
      </c>
      <c r="O1116" s="369"/>
      <c r="P1116" s="176"/>
      <c r="Q1116" s="177"/>
      <c r="R1116" s="132"/>
      <c r="S1116" s="21"/>
    </row>
    <row r="1117" spans="1:22" s="5" customFormat="1" ht="42" customHeight="1" x14ac:dyDescent="0.25">
      <c r="A1117" s="396">
        <v>17</v>
      </c>
      <c r="B1117" s="397" t="s">
        <v>246</v>
      </c>
      <c r="C1117" s="197" t="s">
        <v>500</v>
      </c>
      <c r="D1117" s="162">
        <v>5630437.2599999998</v>
      </c>
      <c r="E1117" s="197" t="s">
        <v>672</v>
      </c>
      <c r="F1117" s="197" t="s">
        <v>670</v>
      </c>
      <c r="G1117" s="353">
        <v>6242355.79</v>
      </c>
      <c r="H1117" s="161">
        <v>42504</v>
      </c>
      <c r="I1117" s="161">
        <v>42503</v>
      </c>
      <c r="J1117" s="162">
        <v>5630437.2599999998</v>
      </c>
      <c r="K1117" s="162">
        <v>5630437.2599999998</v>
      </c>
      <c r="L1117" s="161"/>
      <c r="M1117" s="162">
        <f>J1117-D1117</f>
        <v>0</v>
      </c>
      <c r="N1117" s="200">
        <v>1</v>
      </c>
      <c r="O1117" s="382"/>
      <c r="P1117" s="176"/>
      <c r="Q1117" s="177"/>
      <c r="R1117" s="132"/>
      <c r="S1117" s="21"/>
      <c r="T1117" s="18"/>
      <c r="U1117" s="19"/>
      <c r="V1117" s="19"/>
    </row>
    <row r="1118" spans="1:22" ht="17.25" outlineLevel="1" thickBot="1" x14ac:dyDescent="0.3">
      <c r="A1118" s="1010" t="s">
        <v>628</v>
      </c>
      <c r="B1118" s="1011"/>
      <c r="C1118" s="377"/>
      <c r="D1118" s="378">
        <f>SUM(D1117:D1117)</f>
        <v>5630437.2599999998</v>
      </c>
      <c r="E1118" s="247"/>
      <c r="F1118" s="247"/>
      <c r="G1118" s="379">
        <f>SUM(G1117:G1117)</f>
        <v>6242355.79</v>
      </c>
      <c r="H1118" s="247"/>
      <c r="I1118" s="277"/>
      <c r="J1118" s="378">
        <f>SUM(J1117:J1117)</f>
        <v>5630437.2599999998</v>
      </c>
      <c r="K1118" s="378">
        <f>SUM(K1117:K1117)</f>
        <v>5630437.2599999998</v>
      </c>
      <c r="L1118" s="380"/>
      <c r="M1118" s="378"/>
      <c r="N1118" s="395">
        <f>AVERAGE(N1117)</f>
        <v>1</v>
      </c>
      <c r="O1118" s="381"/>
      <c r="P1118" s="176"/>
      <c r="Q1118" s="177"/>
      <c r="R1118" s="132"/>
      <c r="S1118" s="21"/>
    </row>
    <row r="1119" spans="1:22" s="5" customFormat="1" ht="33" x14ac:dyDescent="0.25">
      <c r="A1119" s="1027">
        <v>18</v>
      </c>
      <c r="B1119" s="1025" t="s">
        <v>262</v>
      </c>
      <c r="C1119" s="197" t="s">
        <v>500</v>
      </c>
      <c r="D1119" s="162">
        <v>7535653.46</v>
      </c>
      <c r="E1119" s="197" t="s">
        <v>1270</v>
      </c>
      <c r="F1119" s="197" t="s">
        <v>750</v>
      </c>
      <c r="G1119" s="353">
        <v>7535437.2400000002</v>
      </c>
      <c r="H1119" s="161">
        <v>42788</v>
      </c>
      <c r="I1119" s="161">
        <v>42713</v>
      </c>
      <c r="J1119" s="162">
        <v>6171054.1900000004</v>
      </c>
      <c r="K1119" s="162">
        <v>6171054.1900000004</v>
      </c>
      <c r="L1119" s="161">
        <v>42725</v>
      </c>
      <c r="M1119" s="162"/>
      <c r="N1119" s="200">
        <v>0</v>
      </c>
      <c r="O1119" s="382"/>
      <c r="P1119" s="176">
        <v>2017</v>
      </c>
      <c r="Q1119" s="177"/>
      <c r="R1119" s="132"/>
      <c r="S1119" s="21"/>
      <c r="T1119" s="18"/>
      <c r="U1119" s="19"/>
      <c r="V1119" s="19"/>
    </row>
    <row r="1120" spans="1:22" ht="49.5" outlineLevel="1" x14ac:dyDescent="0.25">
      <c r="A1120" s="1028"/>
      <c r="B1120" s="1026"/>
      <c r="C1120" s="294" t="s">
        <v>37</v>
      </c>
      <c r="D1120" s="180">
        <v>86889.97</v>
      </c>
      <c r="E1120" s="181" t="s">
        <v>553</v>
      </c>
      <c r="F1120" s="181" t="s">
        <v>537</v>
      </c>
      <c r="G1120" s="182">
        <f>73635.57*1.18</f>
        <v>86889.972600000008</v>
      </c>
      <c r="H1120" s="183">
        <v>42430</v>
      </c>
      <c r="I1120" s="183">
        <v>42430</v>
      </c>
      <c r="J1120" s="184">
        <v>86889.97</v>
      </c>
      <c r="K1120" s="184">
        <v>86889.97</v>
      </c>
      <c r="L1120" s="183"/>
      <c r="M1120" s="184">
        <f>J1120-D1120</f>
        <v>0</v>
      </c>
      <c r="N1120" s="202"/>
      <c r="O1120" s="283" t="s">
        <v>721</v>
      </c>
      <c r="P1120" s="176"/>
      <c r="Q1120" s="177"/>
      <c r="R1120" s="132"/>
      <c r="S1120" s="21"/>
    </row>
    <row r="1121" spans="1:22" ht="17.25" outlineLevel="1" thickBot="1" x14ac:dyDescent="0.3">
      <c r="A1121" s="1006" t="s">
        <v>628</v>
      </c>
      <c r="B1121" s="1007"/>
      <c r="C1121" s="364"/>
      <c r="D1121" s="365">
        <f>SUM(D1119:D1120)</f>
        <v>7622543.4299999997</v>
      </c>
      <c r="E1121" s="188"/>
      <c r="F1121" s="188"/>
      <c r="G1121" s="366">
        <f>SUM(G1119:G1120)</f>
        <v>7622327.2126000002</v>
      </c>
      <c r="H1121" s="188"/>
      <c r="I1121" s="190"/>
      <c r="J1121" s="365">
        <f>SUM(J1119:J1120)</f>
        <v>6257944.1600000001</v>
      </c>
      <c r="K1121" s="365">
        <f>SUM(K1119:K1120)</f>
        <v>6257944.1600000001</v>
      </c>
      <c r="L1121" s="367"/>
      <c r="M1121" s="365"/>
      <c r="N1121" s="368">
        <f>AVERAGE(N1119:N1120)</f>
        <v>0</v>
      </c>
      <c r="O1121" s="369"/>
      <c r="P1121" s="176"/>
      <c r="Q1121" s="177"/>
      <c r="R1121" s="168"/>
      <c r="S1121" s="24"/>
      <c r="T1121" s="19"/>
    </row>
    <row r="1122" spans="1:22" s="5" customFormat="1" ht="45.75" customHeight="1" x14ac:dyDescent="0.25">
      <c r="A1122" s="396">
        <v>19</v>
      </c>
      <c r="B1122" s="397" t="s">
        <v>247</v>
      </c>
      <c r="C1122" s="197" t="s">
        <v>500</v>
      </c>
      <c r="D1122" s="162">
        <v>4473899.1500000004</v>
      </c>
      <c r="E1122" s="197" t="s">
        <v>668</v>
      </c>
      <c r="F1122" s="273" t="s">
        <v>666</v>
      </c>
      <c r="G1122" s="353">
        <v>5699198.347592528</v>
      </c>
      <c r="H1122" s="161">
        <v>42491</v>
      </c>
      <c r="I1122" s="161">
        <v>42482</v>
      </c>
      <c r="J1122" s="162">
        <v>4473899.1500000004</v>
      </c>
      <c r="K1122" s="162">
        <v>4473899.1500000004</v>
      </c>
      <c r="L1122" s="161"/>
      <c r="M1122" s="162">
        <f>J1122-D1122</f>
        <v>0</v>
      </c>
      <c r="N1122" s="200">
        <v>1</v>
      </c>
      <c r="O1122" s="382"/>
      <c r="P1122" s="176"/>
      <c r="Q1122" s="177"/>
      <c r="R1122" s="132"/>
      <c r="S1122" s="21"/>
      <c r="T1122" s="18"/>
      <c r="U1122" s="19"/>
      <c r="V1122" s="19"/>
    </row>
    <row r="1123" spans="1:22" ht="17.25" outlineLevel="1" thickBot="1" x14ac:dyDescent="0.3">
      <c r="A1123" s="1006" t="s">
        <v>628</v>
      </c>
      <c r="B1123" s="1007"/>
      <c r="C1123" s="364"/>
      <c r="D1123" s="365">
        <f>SUM(D1122:D1122)</f>
        <v>4473899.1500000004</v>
      </c>
      <c r="E1123" s="188"/>
      <c r="F1123" s="188"/>
      <c r="G1123" s="366">
        <f>SUM(G1122:G1122)</f>
        <v>5699198.347592528</v>
      </c>
      <c r="H1123" s="188"/>
      <c r="I1123" s="190"/>
      <c r="J1123" s="365">
        <f>SUM(J1122:J1122)</f>
        <v>4473899.1500000004</v>
      </c>
      <c r="K1123" s="365">
        <f>SUM(K1122:K1122)</f>
        <v>4473899.1500000004</v>
      </c>
      <c r="L1123" s="367"/>
      <c r="M1123" s="365"/>
      <c r="N1123" s="395">
        <f>AVERAGE(N1122)</f>
        <v>1</v>
      </c>
      <c r="O1123" s="369"/>
      <c r="P1123" s="176"/>
      <c r="Q1123" s="177"/>
      <c r="R1123" s="168"/>
      <c r="S1123" s="24"/>
      <c r="T1123" s="19"/>
    </row>
    <row r="1124" spans="1:22" s="5" customFormat="1" ht="33" x14ac:dyDescent="0.25">
      <c r="A1124" s="1027">
        <v>20</v>
      </c>
      <c r="B1124" s="1025" t="s">
        <v>254</v>
      </c>
      <c r="C1124" s="197" t="s">
        <v>500</v>
      </c>
      <c r="D1124" s="162">
        <v>2402803.3199999998</v>
      </c>
      <c r="E1124" s="197" t="s">
        <v>1270</v>
      </c>
      <c r="F1124" s="197" t="s">
        <v>750</v>
      </c>
      <c r="G1124" s="353">
        <v>2402734.38</v>
      </c>
      <c r="H1124" s="161">
        <v>42788</v>
      </c>
      <c r="I1124" s="161">
        <v>42713</v>
      </c>
      <c r="J1124" s="162">
        <v>2576099.0099999998</v>
      </c>
      <c r="K1124" s="162">
        <v>2576099.0099999998</v>
      </c>
      <c r="L1124" s="161">
        <v>42725</v>
      </c>
      <c r="M1124" s="162"/>
      <c r="N1124" s="200">
        <v>0</v>
      </c>
      <c r="O1124" s="370"/>
      <c r="P1124" s="176">
        <v>2017</v>
      </c>
      <c r="Q1124" s="177"/>
      <c r="R1124" s="132"/>
      <c r="S1124" s="21"/>
      <c r="T1124" s="18"/>
      <c r="U1124" s="19"/>
      <c r="V1124" s="19"/>
    </row>
    <row r="1125" spans="1:22" ht="49.5" outlineLevel="1" x14ac:dyDescent="0.25">
      <c r="A1125" s="1028"/>
      <c r="B1125" s="1026"/>
      <c r="C1125" s="294" t="s">
        <v>37</v>
      </c>
      <c r="D1125" s="180">
        <v>67271.28</v>
      </c>
      <c r="E1125" s="181" t="s">
        <v>553</v>
      </c>
      <c r="F1125" s="181" t="s">
        <v>537</v>
      </c>
      <c r="G1125" s="182">
        <f>57009.56*1.18</f>
        <v>67271.280799999993</v>
      </c>
      <c r="H1125" s="183">
        <v>42430</v>
      </c>
      <c r="I1125" s="183">
        <v>42393</v>
      </c>
      <c r="J1125" s="184">
        <v>67271.28</v>
      </c>
      <c r="K1125" s="184">
        <v>67271.28</v>
      </c>
      <c r="L1125" s="183"/>
      <c r="M1125" s="184">
        <f>J1125-D1125</f>
        <v>0</v>
      </c>
      <c r="N1125" s="202"/>
      <c r="O1125" s="283" t="s">
        <v>721</v>
      </c>
      <c r="P1125" s="176"/>
      <c r="Q1125" s="177"/>
      <c r="R1125" s="132"/>
      <c r="S1125" s="21"/>
    </row>
    <row r="1126" spans="1:22" ht="17.25" outlineLevel="1" thickBot="1" x14ac:dyDescent="0.3">
      <c r="A1126" s="1006" t="s">
        <v>628</v>
      </c>
      <c r="B1126" s="1007"/>
      <c r="C1126" s="364"/>
      <c r="D1126" s="365">
        <f>SUM(D1124:D1125)</f>
        <v>2470074.5999999996</v>
      </c>
      <c r="E1126" s="188"/>
      <c r="F1126" s="188"/>
      <c r="G1126" s="366">
        <f>SUM(G1124:G1125)</f>
        <v>2470005.6607999997</v>
      </c>
      <c r="H1126" s="188"/>
      <c r="I1126" s="190"/>
      <c r="J1126" s="365">
        <f>SUM(J1124:J1125)</f>
        <v>2643370.2899999996</v>
      </c>
      <c r="K1126" s="365">
        <f>SUM(K1124:K1125)</f>
        <v>2643370.2899999996</v>
      </c>
      <c r="L1126" s="367"/>
      <c r="M1126" s="365"/>
      <c r="N1126" s="368">
        <f>AVERAGE(N1124:N1125)</f>
        <v>0</v>
      </c>
      <c r="O1126" s="369"/>
      <c r="P1126" s="176"/>
      <c r="Q1126" s="177"/>
      <c r="R1126" s="168"/>
      <c r="S1126" s="24"/>
      <c r="T1126" s="19"/>
    </row>
    <row r="1127" spans="1:22" s="5" customFormat="1" ht="33" x14ac:dyDescent="0.25">
      <c r="A1127" s="1027">
        <v>21</v>
      </c>
      <c r="B1127" s="1025" t="s">
        <v>256</v>
      </c>
      <c r="C1127" s="197" t="s">
        <v>500</v>
      </c>
      <c r="D1127" s="162">
        <v>2471928.9</v>
      </c>
      <c r="E1127" s="197" t="s">
        <v>1270</v>
      </c>
      <c r="F1127" s="197" t="s">
        <v>750</v>
      </c>
      <c r="G1127" s="353">
        <v>2471857.9700000002</v>
      </c>
      <c r="H1127" s="161">
        <v>42788</v>
      </c>
      <c r="I1127" s="161">
        <v>42713</v>
      </c>
      <c r="J1127" s="162">
        <v>2410620.09</v>
      </c>
      <c r="K1127" s="162">
        <v>2410620.09</v>
      </c>
      <c r="L1127" s="161" t="s">
        <v>1474</v>
      </c>
      <c r="M1127" s="162"/>
      <c r="N1127" s="200">
        <v>0</v>
      </c>
      <c r="O1127" s="370"/>
      <c r="P1127" s="176">
        <v>2017</v>
      </c>
      <c r="Q1127" s="177"/>
      <c r="R1127" s="132"/>
      <c r="S1127" s="21"/>
      <c r="T1127" s="18"/>
      <c r="U1127" s="19"/>
      <c r="V1127" s="19"/>
    </row>
    <row r="1128" spans="1:22" ht="49.5" outlineLevel="1" x14ac:dyDescent="0.25">
      <c r="A1128" s="1028"/>
      <c r="B1128" s="1026"/>
      <c r="C1128" s="294" t="s">
        <v>37</v>
      </c>
      <c r="D1128" s="180">
        <v>66241.41</v>
      </c>
      <c r="E1128" s="181" t="s">
        <v>553</v>
      </c>
      <c r="F1128" s="181" t="s">
        <v>537</v>
      </c>
      <c r="G1128" s="182">
        <f>56136.79*1.18</f>
        <v>66241.412199999992</v>
      </c>
      <c r="H1128" s="183">
        <v>42430</v>
      </c>
      <c r="I1128" s="183">
        <v>42393</v>
      </c>
      <c r="J1128" s="184">
        <v>66241.41</v>
      </c>
      <c r="K1128" s="184">
        <v>66241.41</v>
      </c>
      <c r="L1128" s="183"/>
      <c r="M1128" s="184">
        <f>J1128-D1128</f>
        <v>0</v>
      </c>
      <c r="N1128" s="202"/>
      <c r="O1128" s="283" t="s">
        <v>721</v>
      </c>
      <c r="P1128" s="176"/>
      <c r="Q1128" s="177"/>
      <c r="R1128" s="132"/>
      <c r="S1128" s="21"/>
    </row>
    <row r="1129" spans="1:22" ht="17.25" outlineLevel="1" thickBot="1" x14ac:dyDescent="0.3">
      <c r="A1129" s="1010" t="s">
        <v>628</v>
      </c>
      <c r="B1129" s="1011"/>
      <c r="C1129" s="377"/>
      <c r="D1129" s="378">
        <f>SUM(D1127:D1128)</f>
        <v>2538170.31</v>
      </c>
      <c r="E1129" s="215"/>
      <c r="F1129" s="215"/>
      <c r="G1129" s="379">
        <f>SUM(G1127:G1128)</f>
        <v>2538099.3822000003</v>
      </c>
      <c r="H1129" s="215"/>
      <c r="I1129" s="384"/>
      <c r="J1129" s="378">
        <f>SUM(J1127:J1128)</f>
        <v>2476861.5</v>
      </c>
      <c r="K1129" s="378">
        <f>SUM(K1127:K1128)</f>
        <v>2476861.5</v>
      </c>
      <c r="L1129" s="380"/>
      <c r="M1129" s="378"/>
      <c r="N1129" s="368">
        <f>AVERAGE(N1127:N1128)</f>
        <v>0</v>
      </c>
      <c r="O1129" s="381"/>
      <c r="P1129" s="176"/>
      <c r="Q1129" s="177"/>
      <c r="R1129" s="168"/>
      <c r="S1129" s="24"/>
      <c r="T1129" s="19"/>
    </row>
    <row r="1130" spans="1:22" s="5" customFormat="1" ht="33" x14ac:dyDescent="0.25">
      <c r="A1130" s="1027">
        <v>22</v>
      </c>
      <c r="B1130" s="1025" t="s">
        <v>522</v>
      </c>
      <c r="C1130" s="197" t="s">
        <v>500</v>
      </c>
      <c r="D1130" s="162">
        <v>5533877.8600000003</v>
      </c>
      <c r="E1130" s="197" t="s">
        <v>1193</v>
      </c>
      <c r="F1130" s="197" t="s">
        <v>670</v>
      </c>
      <c r="G1130" s="353">
        <v>5533877.8600000003</v>
      </c>
      <c r="H1130" s="161">
        <v>42755</v>
      </c>
      <c r="I1130" s="161">
        <v>42755</v>
      </c>
      <c r="J1130" s="162">
        <v>4889599.04</v>
      </c>
      <c r="K1130" s="162"/>
      <c r="L1130" s="161"/>
      <c r="M1130" s="162"/>
      <c r="N1130" s="376">
        <v>0</v>
      </c>
      <c r="O1130" s="370"/>
      <c r="P1130" s="176">
        <v>2017</v>
      </c>
      <c r="Q1130" s="177"/>
      <c r="R1130" s="132"/>
      <c r="S1130" s="21"/>
      <c r="T1130" s="18"/>
      <c r="U1130" s="19"/>
      <c r="V1130" s="19"/>
    </row>
    <row r="1131" spans="1:22" ht="49.5" outlineLevel="1" x14ac:dyDescent="0.25">
      <c r="A1131" s="1028"/>
      <c r="B1131" s="1026"/>
      <c r="C1131" s="294" t="s">
        <v>37</v>
      </c>
      <c r="D1131" s="180">
        <v>77542.53</v>
      </c>
      <c r="E1131" s="181" t="s">
        <v>553</v>
      </c>
      <c r="F1131" s="181" t="s">
        <v>537</v>
      </c>
      <c r="G1131" s="182">
        <f>65714.01*1.18</f>
        <v>77542.531799999982</v>
      </c>
      <c r="H1131" s="183">
        <v>42430</v>
      </c>
      <c r="I1131" s="183">
        <v>42430</v>
      </c>
      <c r="J1131" s="184">
        <v>77542.53</v>
      </c>
      <c r="K1131" s="184">
        <v>77542.53</v>
      </c>
      <c r="L1131" s="183"/>
      <c r="M1131" s="184">
        <f>J1131-D1131</f>
        <v>0</v>
      </c>
      <c r="N1131" s="202"/>
      <c r="O1131" s="283" t="s">
        <v>721</v>
      </c>
      <c r="P1131" s="176"/>
      <c r="Q1131" s="177"/>
      <c r="R1131" s="132"/>
      <c r="S1131" s="21"/>
    </row>
    <row r="1132" spans="1:22" ht="17.25" outlineLevel="1" thickBot="1" x14ac:dyDescent="0.3">
      <c r="A1132" s="1006" t="s">
        <v>628</v>
      </c>
      <c r="B1132" s="1007"/>
      <c r="C1132" s="364"/>
      <c r="D1132" s="365">
        <f>SUM(D1130:D1131)</f>
        <v>5611420.3900000006</v>
      </c>
      <c r="E1132" s="188"/>
      <c r="F1132" s="188"/>
      <c r="G1132" s="366">
        <f>SUM(G1130:G1131)</f>
        <v>5611420.3918000003</v>
      </c>
      <c r="H1132" s="188"/>
      <c r="I1132" s="190"/>
      <c r="J1132" s="365">
        <f>SUM(J1130:J1131)</f>
        <v>4967141.57</v>
      </c>
      <c r="K1132" s="365">
        <f>SUM(K1130:K1131)</f>
        <v>77542.53</v>
      </c>
      <c r="L1132" s="367"/>
      <c r="M1132" s="365"/>
      <c r="N1132" s="368">
        <f>AVERAGE(N1130:N1131)</f>
        <v>0</v>
      </c>
      <c r="O1132" s="369"/>
      <c r="P1132" s="176"/>
      <c r="Q1132" s="177"/>
      <c r="R1132" s="168"/>
      <c r="S1132" s="24"/>
      <c r="T1132" s="19"/>
    </row>
    <row r="1133" spans="1:22" s="5" customFormat="1" ht="33" x14ac:dyDescent="0.25">
      <c r="A1133" s="1027">
        <v>23</v>
      </c>
      <c r="B1133" s="1025" t="s">
        <v>523</v>
      </c>
      <c r="C1133" s="371" t="s">
        <v>500</v>
      </c>
      <c r="D1133" s="372">
        <v>11955514.560000001</v>
      </c>
      <c r="E1133" s="220" t="s">
        <v>1193</v>
      </c>
      <c r="F1133" s="220" t="s">
        <v>670</v>
      </c>
      <c r="G1133" s="463">
        <v>11955514.560000001</v>
      </c>
      <c r="H1133" s="223">
        <v>42755</v>
      </c>
      <c r="I1133" s="375"/>
      <c r="J1133" s="221"/>
      <c r="K1133" s="221"/>
      <c r="L1133" s="223"/>
      <c r="M1133" s="221"/>
      <c r="N1133" s="376">
        <v>0</v>
      </c>
      <c r="O1133" s="370"/>
      <c r="P1133" s="176">
        <v>2017</v>
      </c>
      <c r="Q1133" s="177"/>
      <c r="R1133" s="132"/>
      <c r="S1133" s="21"/>
      <c r="T1133" s="18"/>
      <c r="U1133" s="19"/>
      <c r="V1133" s="19"/>
    </row>
    <row r="1134" spans="1:22" ht="49.5" outlineLevel="1" x14ac:dyDescent="0.25">
      <c r="A1134" s="1028"/>
      <c r="B1134" s="1026"/>
      <c r="C1134" s="294" t="s">
        <v>37</v>
      </c>
      <c r="D1134" s="180">
        <v>100746.3</v>
      </c>
      <c r="E1134" s="181" t="s">
        <v>553</v>
      </c>
      <c r="F1134" s="181" t="s">
        <v>537</v>
      </c>
      <c r="G1134" s="182">
        <f>85378.19*1.18</f>
        <v>100746.26419999999</v>
      </c>
      <c r="H1134" s="183">
        <v>42430</v>
      </c>
      <c r="I1134" s="183">
        <v>42430</v>
      </c>
      <c r="J1134" s="184">
        <v>100746.3</v>
      </c>
      <c r="K1134" s="184">
        <v>100746.3</v>
      </c>
      <c r="L1134" s="183"/>
      <c r="M1134" s="184">
        <f>J1134-D1134</f>
        <v>0</v>
      </c>
      <c r="N1134" s="202"/>
      <c r="O1134" s="283" t="s">
        <v>721</v>
      </c>
      <c r="P1134" s="176"/>
      <c r="Q1134" s="177"/>
      <c r="R1134" s="132"/>
      <c r="S1134" s="21"/>
    </row>
    <row r="1135" spans="1:22" ht="17.25" outlineLevel="1" thickBot="1" x14ac:dyDescent="0.3">
      <c r="A1135" s="1006" t="s">
        <v>628</v>
      </c>
      <c r="B1135" s="1007"/>
      <c r="C1135" s="364"/>
      <c r="D1135" s="365">
        <f>SUM(D1133:D1134)</f>
        <v>12056260.860000001</v>
      </c>
      <c r="E1135" s="239"/>
      <c r="F1135" s="239"/>
      <c r="G1135" s="366">
        <f>SUM(G1133:G1134)</f>
        <v>12056260.824200001</v>
      </c>
      <c r="H1135" s="239"/>
      <c r="I1135" s="321"/>
      <c r="J1135" s="365">
        <f>SUM(J1133:J1134)</f>
        <v>100746.3</v>
      </c>
      <c r="K1135" s="365">
        <f>SUM(K1133:K1134)</f>
        <v>100746.3</v>
      </c>
      <c r="L1135" s="367"/>
      <c r="M1135" s="365"/>
      <c r="N1135" s="368">
        <f>AVERAGE(N1133:N1134)</f>
        <v>0</v>
      </c>
      <c r="O1135" s="369"/>
      <c r="P1135" s="176"/>
      <c r="Q1135" s="177"/>
      <c r="R1135" s="132"/>
      <c r="S1135" s="21"/>
    </row>
    <row r="1136" spans="1:22" s="5" customFormat="1" ht="33" x14ac:dyDescent="0.25">
      <c r="A1136" s="1027">
        <v>24</v>
      </c>
      <c r="B1136" s="1025" t="s">
        <v>257</v>
      </c>
      <c r="C1136" s="197" t="s">
        <v>500</v>
      </c>
      <c r="D1136" s="162">
        <v>5770270.46</v>
      </c>
      <c r="E1136" s="197" t="s">
        <v>867</v>
      </c>
      <c r="F1136" s="197" t="s">
        <v>775</v>
      </c>
      <c r="G1136" s="353">
        <v>5809486.25</v>
      </c>
      <c r="H1136" s="161">
        <v>42561</v>
      </c>
      <c r="I1136" s="161">
        <v>42561</v>
      </c>
      <c r="J1136" s="162">
        <v>5770270.46</v>
      </c>
      <c r="K1136" s="162">
        <v>5770270.46</v>
      </c>
      <c r="L1136" s="198"/>
      <c r="M1136" s="199"/>
      <c r="N1136" s="200">
        <v>1</v>
      </c>
      <c r="O1136" s="370"/>
      <c r="P1136" s="176"/>
      <c r="Q1136" s="177"/>
      <c r="R1136" s="168"/>
      <c r="S1136" s="24"/>
      <c r="T1136" s="19"/>
      <c r="U1136" s="19"/>
      <c r="V1136" s="19"/>
    </row>
    <row r="1137" spans="1:22" ht="49.5" outlineLevel="1" x14ac:dyDescent="0.25">
      <c r="A1137" s="1028"/>
      <c r="B1137" s="1026"/>
      <c r="C1137" s="294" t="s">
        <v>37</v>
      </c>
      <c r="D1137" s="180">
        <v>87032.66</v>
      </c>
      <c r="E1137" s="181" t="s">
        <v>553</v>
      </c>
      <c r="F1137" s="181" t="s">
        <v>537</v>
      </c>
      <c r="G1137" s="182">
        <f>73756.49*1.18</f>
        <v>87032.658200000005</v>
      </c>
      <c r="H1137" s="183">
        <v>42430</v>
      </c>
      <c r="I1137" s="183">
        <v>42393</v>
      </c>
      <c r="J1137" s="184">
        <v>87032.66</v>
      </c>
      <c r="K1137" s="184">
        <v>87032.66</v>
      </c>
      <c r="L1137" s="183"/>
      <c r="M1137" s="184">
        <f>J1137-D1137</f>
        <v>0</v>
      </c>
      <c r="N1137" s="202"/>
      <c r="O1137" s="283" t="s">
        <v>721</v>
      </c>
      <c r="P1137" s="176"/>
      <c r="Q1137" s="177"/>
      <c r="R1137" s="132"/>
      <c r="S1137" s="21"/>
    </row>
    <row r="1138" spans="1:22" ht="17.25" outlineLevel="1" thickBot="1" x14ac:dyDescent="0.3">
      <c r="A1138" s="1006" t="s">
        <v>628</v>
      </c>
      <c r="B1138" s="1007"/>
      <c r="C1138" s="364"/>
      <c r="D1138" s="365">
        <f>SUM(D1136:D1137)</f>
        <v>5857303.1200000001</v>
      </c>
      <c r="E1138" s="239"/>
      <c r="F1138" s="239"/>
      <c r="G1138" s="366">
        <f>SUM(G1136:G1137)</f>
        <v>5896518.9082000004</v>
      </c>
      <c r="H1138" s="239"/>
      <c r="I1138" s="321"/>
      <c r="J1138" s="365">
        <f>SUM(J1136:J1137)</f>
        <v>5857303.1200000001</v>
      </c>
      <c r="K1138" s="365">
        <f>SUM(K1136:K1137)</f>
        <v>5857303.1200000001</v>
      </c>
      <c r="L1138" s="367"/>
      <c r="M1138" s="365"/>
      <c r="N1138" s="368">
        <f>AVERAGE(N1136:N1137)</f>
        <v>1</v>
      </c>
      <c r="O1138" s="369"/>
      <c r="P1138" s="176"/>
      <c r="Q1138" s="177"/>
      <c r="R1138" s="132"/>
      <c r="S1138" s="21"/>
    </row>
    <row r="1139" spans="1:22" s="5" customFormat="1" ht="33" x14ac:dyDescent="0.25">
      <c r="A1139" s="1027">
        <v>25</v>
      </c>
      <c r="B1139" s="1025" t="s">
        <v>252</v>
      </c>
      <c r="C1139" s="197" t="s">
        <v>500</v>
      </c>
      <c r="D1139" s="162">
        <v>4304281.05</v>
      </c>
      <c r="E1139" s="197" t="s">
        <v>1070</v>
      </c>
      <c r="F1139" s="197" t="s">
        <v>750</v>
      </c>
      <c r="G1139" s="353">
        <v>4304281.05</v>
      </c>
      <c r="H1139" s="161">
        <v>42713</v>
      </c>
      <c r="I1139" s="161">
        <v>42696</v>
      </c>
      <c r="J1139" s="162">
        <v>4304051.04</v>
      </c>
      <c r="K1139" s="162">
        <v>4304051.04</v>
      </c>
      <c r="L1139" s="161">
        <v>42705</v>
      </c>
      <c r="M1139" s="162"/>
      <c r="N1139" s="200">
        <v>1</v>
      </c>
      <c r="O1139" s="370"/>
      <c r="P1139" s="176"/>
      <c r="Q1139" s="177"/>
      <c r="R1139" s="132"/>
      <c r="S1139" s="21"/>
      <c r="T1139" s="18"/>
      <c r="U1139" s="19"/>
      <c r="V1139" s="19"/>
    </row>
    <row r="1140" spans="1:22" ht="49.5" outlineLevel="1" x14ac:dyDescent="0.25">
      <c r="A1140" s="1028"/>
      <c r="B1140" s="1026"/>
      <c r="C1140" s="294" t="s">
        <v>37</v>
      </c>
      <c r="D1140" s="180">
        <v>72417.02</v>
      </c>
      <c r="E1140" s="181" t="s">
        <v>553</v>
      </c>
      <c r="F1140" s="181" t="s">
        <v>537</v>
      </c>
      <c r="G1140" s="182">
        <f>61370.36*1.18</f>
        <v>72417.024799999999</v>
      </c>
      <c r="H1140" s="183">
        <v>42430</v>
      </c>
      <c r="I1140" s="183">
        <v>42393</v>
      </c>
      <c r="J1140" s="184">
        <v>72417.02</v>
      </c>
      <c r="K1140" s="184">
        <v>72417.01999999999</v>
      </c>
      <c r="L1140" s="183"/>
      <c r="M1140" s="184">
        <f>J1140-D1140</f>
        <v>0</v>
      </c>
      <c r="N1140" s="202"/>
      <c r="O1140" s="283" t="s">
        <v>721</v>
      </c>
      <c r="P1140" s="176"/>
      <c r="Q1140" s="177"/>
      <c r="R1140" s="132"/>
      <c r="S1140" s="21"/>
    </row>
    <row r="1141" spans="1:22" ht="17.25" outlineLevel="1" thickBot="1" x14ac:dyDescent="0.3">
      <c r="A1141" s="1006" t="s">
        <v>628</v>
      </c>
      <c r="B1141" s="1007"/>
      <c r="C1141" s="364"/>
      <c r="D1141" s="365">
        <f>SUM(D1139:D1140)</f>
        <v>4376698.0699999994</v>
      </c>
      <c r="E1141" s="239"/>
      <c r="F1141" s="239"/>
      <c r="G1141" s="366">
        <f>SUM(G1139:G1140)</f>
        <v>4376698.0747999996</v>
      </c>
      <c r="H1141" s="239"/>
      <c r="I1141" s="321"/>
      <c r="J1141" s="365">
        <f>SUM(J1139:J1140)</f>
        <v>4376468.0599999996</v>
      </c>
      <c r="K1141" s="365">
        <f>SUM(K1139:K1140)</f>
        <v>4376468.0599999996</v>
      </c>
      <c r="L1141" s="367"/>
      <c r="M1141" s="365"/>
      <c r="N1141" s="368">
        <f>AVERAGE(N1139:N1140)</f>
        <v>1</v>
      </c>
      <c r="O1141" s="369"/>
      <c r="P1141" s="176"/>
      <c r="Q1141" s="177"/>
      <c r="R1141" s="132"/>
      <c r="S1141" s="21"/>
    </row>
    <row r="1142" spans="1:22" s="5" customFormat="1" ht="42.75" customHeight="1" x14ac:dyDescent="0.25">
      <c r="A1142" s="396">
        <v>26</v>
      </c>
      <c r="B1142" s="397" t="s">
        <v>248</v>
      </c>
      <c r="C1142" s="197" t="s">
        <v>500</v>
      </c>
      <c r="D1142" s="162">
        <v>3626475.12</v>
      </c>
      <c r="E1142" s="197" t="s">
        <v>671</v>
      </c>
      <c r="F1142" s="197" t="s">
        <v>670</v>
      </c>
      <c r="G1142" s="353">
        <v>4210840.05</v>
      </c>
      <c r="H1142" s="161">
        <v>42504</v>
      </c>
      <c r="I1142" s="161">
        <v>42503</v>
      </c>
      <c r="J1142" s="162">
        <v>3626475.12</v>
      </c>
      <c r="K1142" s="162">
        <v>3626475.12</v>
      </c>
      <c r="L1142" s="198"/>
      <c r="M1142" s="162">
        <f>J1142-D1142</f>
        <v>0</v>
      </c>
      <c r="N1142" s="200">
        <v>1</v>
      </c>
      <c r="O1142" s="382"/>
      <c r="P1142" s="176"/>
      <c r="Q1142" s="177"/>
      <c r="R1142" s="168"/>
      <c r="S1142" s="24"/>
      <c r="T1142" s="19"/>
      <c r="U1142" s="19"/>
      <c r="V1142" s="19"/>
    </row>
    <row r="1143" spans="1:22" ht="17.25" outlineLevel="1" thickBot="1" x14ac:dyDescent="0.3">
      <c r="A1143" s="1010" t="s">
        <v>628</v>
      </c>
      <c r="B1143" s="1011"/>
      <c r="C1143" s="377"/>
      <c r="D1143" s="378">
        <f>SUM(D1142:D1142)</f>
        <v>3626475.12</v>
      </c>
      <c r="E1143" s="247"/>
      <c r="F1143" s="247"/>
      <c r="G1143" s="379">
        <f>SUM(G1142:G1142)</f>
        <v>4210840.05</v>
      </c>
      <c r="H1143" s="247"/>
      <c r="I1143" s="277"/>
      <c r="J1143" s="378">
        <f>SUM(J1142:J1142)</f>
        <v>3626475.12</v>
      </c>
      <c r="K1143" s="378">
        <f>SUM(K1142:K1142)</f>
        <v>3626475.12</v>
      </c>
      <c r="L1143" s="380"/>
      <c r="M1143" s="378"/>
      <c r="N1143" s="395">
        <f>AVERAGE(N1142)</f>
        <v>1</v>
      </c>
      <c r="O1143" s="381"/>
      <c r="P1143" s="176"/>
      <c r="Q1143" s="177"/>
      <c r="R1143" s="132"/>
      <c r="S1143" s="21"/>
    </row>
    <row r="1144" spans="1:22" s="5" customFormat="1" ht="33" x14ac:dyDescent="0.25">
      <c r="A1144" s="1027">
        <v>27</v>
      </c>
      <c r="B1144" s="1025" t="s">
        <v>258</v>
      </c>
      <c r="C1144" s="371" t="s">
        <v>500</v>
      </c>
      <c r="D1144" s="372">
        <v>2382934.48</v>
      </c>
      <c r="E1144" s="220" t="s">
        <v>1193</v>
      </c>
      <c r="F1144" s="220" t="s">
        <v>670</v>
      </c>
      <c r="G1144" s="463">
        <v>2382934.48</v>
      </c>
      <c r="H1144" s="223">
        <v>42755</v>
      </c>
      <c r="I1144" s="223">
        <v>42755</v>
      </c>
      <c r="J1144" s="221">
        <v>1996227.24</v>
      </c>
      <c r="K1144" s="225"/>
      <c r="L1144" s="226"/>
      <c r="M1144" s="225"/>
      <c r="N1144" s="376">
        <v>0</v>
      </c>
      <c r="O1144" s="370"/>
      <c r="P1144" s="176">
        <v>2017</v>
      </c>
      <c r="Q1144" s="177"/>
      <c r="R1144" s="168"/>
      <c r="S1144" s="24"/>
      <c r="T1144" s="19"/>
      <c r="U1144" s="19"/>
      <c r="V1144" s="19"/>
    </row>
    <row r="1145" spans="1:22" ht="49.5" outlineLevel="1" x14ac:dyDescent="0.25">
      <c r="A1145" s="1028"/>
      <c r="B1145" s="1026"/>
      <c r="C1145" s="294" t="s">
        <v>37</v>
      </c>
      <c r="D1145" s="180">
        <v>67136.06</v>
      </c>
      <c r="E1145" s="181" t="s">
        <v>553</v>
      </c>
      <c r="F1145" s="181" t="s">
        <v>537</v>
      </c>
      <c r="G1145" s="182">
        <f>56894.97*1.18</f>
        <v>67136.064599999998</v>
      </c>
      <c r="H1145" s="183">
        <v>42430</v>
      </c>
      <c r="I1145" s="183">
        <v>42393</v>
      </c>
      <c r="J1145" s="184">
        <v>67136.06</v>
      </c>
      <c r="K1145" s="184">
        <v>67136.06</v>
      </c>
      <c r="L1145" s="183"/>
      <c r="M1145" s="184">
        <f>J1145-D1145</f>
        <v>0</v>
      </c>
      <c r="N1145" s="202"/>
      <c r="O1145" s="283" t="s">
        <v>721</v>
      </c>
      <c r="P1145" s="176"/>
      <c r="Q1145" s="177"/>
      <c r="R1145" s="132"/>
      <c r="S1145" s="21"/>
    </row>
    <row r="1146" spans="1:22" ht="17.25" outlineLevel="1" thickBot="1" x14ac:dyDescent="0.3">
      <c r="A1146" s="1006" t="s">
        <v>628</v>
      </c>
      <c r="B1146" s="1007"/>
      <c r="C1146" s="364"/>
      <c r="D1146" s="365">
        <f>SUM(D1144:D1145)</f>
        <v>2450070.54</v>
      </c>
      <c r="E1146" s="239"/>
      <c r="F1146" s="239"/>
      <c r="G1146" s="366">
        <f>SUM(G1144:G1145)</f>
        <v>2450070.5446000001</v>
      </c>
      <c r="H1146" s="239"/>
      <c r="I1146" s="321"/>
      <c r="J1146" s="365">
        <f>SUM(J1144:J1145)</f>
        <v>2063363.3</v>
      </c>
      <c r="K1146" s="365">
        <f>SUM(K1144:K1145)</f>
        <v>67136.06</v>
      </c>
      <c r="L1146" s="367"/>
      <c r="M1146" s="365"/>
      <c r="N1146" s="368">
        <f>AVERAGE(N1144:N1145)</f>
        <v>0</v>
      </c>
      <c r="O1146" s="369"/>
      <c r="P1146" s="176"/>
      <c r="Q1146" s="177"/>
      <c r="R1146" s="132"/>
      <c r="S1146" s="21"/>
    </row>
    <row r="1147" spans="1:22" s="5" customFormat="1" ht="33" customHeight="1" x14ac:dyDescent="0.25">
      <c r="A1147" s="1027">
        <v>28</v>
      </c>
      <c r="B1147" s="1025" t="s">
        <v>524</v>
      </c>
      <c r="C1147" s="197" t="s">
        <v>500</v>
      </c>
      <c r="D1147" s="162">
        <v>5947352.1500000004</v>
      </c>
      <c r="E1147" s="197" t="s">
        <v>855</v>
      </c>
      <c r="F1147" s="197" t="s">
        <v>750</v>
      </c>
      <c r="G1147" s="353">
        <v>6110584.3300000001</v>
      </c>
      <c r="H1147" s="161">
        <v>42549</v>
      </c>
      <c r="I1147" s="161">
        <v>42549</v>
      </c>
      <c r="J1147" s="162">
        <v>5947352.1500000004</v>
      </c>
      <c r="K1147" s="162">
        <v>5947352.1500000004</v>
      </c>
      <c r="L1147" s="198"/>
      <c r="M1147" s="199"/>
      <c r="N1147" s="200">
        <v>1</v>
      </c>
      <c r="O1147" s="370"/>
      <c r="P1147" s="176"/>
      <c r="Q1147" s="177"/>
      <c r="R1147" s="168"/>
      <c r="S1147" s="24"/>
      <c r="T1147" s="19"/>
      <c r="U1147" s="19"/>
      <c r="V1147" s="19"/>
    </row>
    <row r="1148" spans="1:22" ht="49.5" outlineLevel="1" x14ac:dyDescent="0.25">
      <c r="A1148" s="1028"/>
      <c r="B1148" s="1026"/>
      <c r="C1148" s="294" t="s">
        <v>37</v>
      </c>
      <c r="D1148" s="180">
        <v>82128.91</v>
      </c>
      <c r="E1148" s="181" t="s">
        <v>553</v>
      </c>
      <c r="F1148" s="181" t="s">
        <v>537</v>
      </c>
      <c r="G1148" s="182">
        <f>69600.77*1.18</f>
        <v>82128.908599999995</v>
      </c>
      <c r="H1148" s="183">
        <v>42430</v>
      </c>
      <c r="I1148" s="183">
        <v>42430</v>
      </c>
      <c r="J1148" s="184">
        <v>82128.91</v>
      </c>
      <c r="K1148" s="184">
        <v>82128.909999999989</v>
      </c>
      <c r="L1148" s="183"/>
      <c r="M1148" s="184">
        <f>J1148-D1148</f>
        <v>0</v>
      </c>
      <c r="N1148" s="202"/>
      <c r="O1148" s="283" t="s">
        <v>721</v>
      </c>
      <c r="P1148" s="176"/>
      <c r="Q1148" s="177"/>
      <c r="R1148" s="132"/>
      <c r="S1148" s="21"/>
    </row>
    <row r="1149" spans="1:22" ht="17.25" outlineLevel="1" thickBot="1" x14ac:dyDescent="0.3">
      <c r="A1149" s="1006" t="s">
        <v>628</v>
      </c>
      <c r="B1149" s="1007"/>
      <c r="C1149" s="364"/>
      <c r="D1149" s="365">
        <f>SUM(D1147:D1148)</f>
        <v>6029481.0600000005</v>
      </c>
      <c r="E1149" s="239"/>
      <c r="F1149" s="239"/>
      <c r="G1149" s="366">
        <f>SUM(G1147:G1148)</f>
        <v>6192713.2385999998</v>
      </c>
      <c r="H1149" s="239"/>
      <c r="I1149" s="321"/>
      <c r="J1149" s="365">
        <f>SUM(J1147:J1148)</f>
        <v>6029481.0600000005</v>
      </c>
      <c r="K1149" s="365">
        <f>SUM(K1147:K1148)</f>
        <v>6029481.0600000005</v>
      </c>
      <c r="L1149" s="367"/>
      <c r="M1149" s="365"/>
      <c r="N1149" s="368">
        <f>AVERAGE(N1147:N1148)</f>
        <v>1</v>
      </c>
      <c r="O1149" s="369"/>
      <c r="P1149" s="176"/>
      <c r="Q1149" s="177"/>
      <c r="R1149" s="132"/>
      <c r="S1149" s="21"/>
    </row>
    <row r="1150" spans="1:22" s="5" customFormat="1" ht="42.75" customHeight="1" x14ac:dyDescent="0.25">
      <c r="A1150" s="396">
        <v>29</v>
      </c>
      <c r="B1150" s="397" t="s">
        <v>249</v>
      </c>
      <c r="C1150" s="197" t="s">
        <v>500</v>
      </c>
      <c r="D1150" s="162">
        <v>4546462.12</v>
      </c>
      <c r="E1150" s="197" t="s">
        <v>671</v>
      </c>
      <c r="F1150" s="197" t="s">
        <v>670</v>
      </c>
      <c r="G1150" s="353">
        <v>5539159.9500000002</v>
      </c>
      <c r="H1150" s="161">
        <v>42504</v>
      </c>
      <c r="I1150" s="161">
        <v>42503</v>
      </c>
      <c r="J1150" s="162">
        <v>4546462.12</v>
      </c>
      <c r="K1150" s="162">
        <v>4546462.12</v>
      </c>
      <c r="L1150" s="198"/>
      <c r="M1150" s="162">
        <f>J1150-D1150</f>
        <v>0</v>
      </c>
      <c r="N1150" s="200">
        <v>1</v>
      </c>
      <c r="O1150" s="382"/>
      <c r="P1150" s="176"/>
      <c r="Q1150" s="177"/>
      <c r="R1150" s="132"/>
      <c r="S1150" s="21"/>
      <c r="T1150" s="18"/>
      <c r="U1150" s="19"/>
      <c r="V1150" s="19"/>
    </row>
    <row r="1151" spans="1:22" ht="17.25" outlineLevel="1" thickBot="1" x14ac:dyDescent="0.3">
      <c r="A1151" s="1010" t="s">
        <v>628</v>
      </c>
      <c r="B1151" s="1011"/>
      <c r="C1151" s="377"/>
      <c r="D1151" s="378">
        <f>SUM(D1150:D1150)</f>
        <v>4546462.12</v>
      </c>
      <c r="E1151" s="215"/>
      <c r="F1151" s="215"/>
      <c r="G1151" s="379">
        <f>SUM(G1150:G1150)</f>
        <v>5539159.9500000002</v>
      </c>
      <c r="H1151" s="215"/>
      <c r="I1151" s="384"/>
      <c r="J1151" s="378">
        <f>SUM(J1150:J1150)</f>
        <v>4546462.12</v>
      </c>
      <c r="K1151" s="378">
        <f>SUM(K1150:K1150)</f>
        <v>4546462.12</v>
      </c>
      <c r="L1151" s="380"/>
      <c r="M1151" s="378"/>
      <c r="N1151" s="395">
        <f>AVERAGE(N1150)</f>
        <v>1</v>
      </c>
      <c r="O1151" s="381"/>
      <c r="P1151" s="176"/>
      <c r="Q1151" s="177"/>
      <c r="R1151" s="168"/>
      <c r="S1151" s="24"/>
      <c r="T1151" s="19"/>
    </row>
    <row r="1152" spans="1:22" s="5" customFormat="1" ht="33" x14ac:dyDescent="0.25">
      <c r="A1152" s="1027">
        <v>30</v>
      </c>
      <c r="B1152" s="1025" t="s">
        <v>250</v>
      </c>
      <c r="C1152" s="197" t="s">
        <v>500</v>
      </c>
      <c r="D1152" s="162">
        <v>2295374.13</v>
      </c>
      <c r="E1152" s="197" t="s">
        <v>855</v>
      </c>
      <c r="F1152" s="197" t="s">
        <v>750</v>
      </c>
      <c r="G1152" s="353">
        <v>2523740.88</v>
      </c>
      <c r="H1152" s="161">
        <v>42561</v>
      </c>
      <c r="I1152" s="161">
        <v>42578</v>
      </c>
      <c r="J1152" s="162">
        <v>2295374.13</v>
      </c>
      <c r="K1152" s="162">
        <v>2295374.13</v>
      </c>
      <c r="L1152" s="161"/>
      <c r="M1152" s="162"/>
      <c r="N1152" s="200">
        <v>1</v>
      </c>
      <c r="O1152" s="370"/>
      <c r="P1152" s="176"/>
      <c r="Q1152" s="177"/>
      <c r="R1152" s="132"/>
      <c r="S1152" s="21"/>
      <c r="T1152" s="18"/>
      <c r="U1152" s="19"/>
      <c r="V1152" s="19"/>
    </row>
    <row r="1153" spans="1:22" ht="49.5" outlineLevel="1" x14ac:dyDescent="0.25">
      <c r="A1153" s="1028"/>
      <c r="B1153" s="1026"/>
      <c r="C1153" s="294" t="s">
        <v>37</v>
      </c>
      <c r="D1153" s="180">
        <v>67136.06</v>
      </c>
      <c r="E1153" s="181" t="s">
        <v>553</v>
      </c>
      <c r="F1153" s="181" t="s">
        <v>537</v>
      </c>
      <c r="G1153" s="182">
        <f>56894.97*1.18</f>
        <v>67136.064599999998</v>
      </c>
      <c r="H1153" s="183">
        <v>42430</v>
      </c>
      <c r="I1153" s="183">
        <v>42393</v>
      </c>
      <c r="J1153" s="184">
        <v>67136.06</v>
      </c>
      <c r="K1153" s="184">
        <v>67136.06</v>
      </c>
      <c r="L1153" s="183"/>
      <c r="M1153" s="184">
        <f>J1153-D1153</f>
        <v>0</v>
      </c>
      <c r="N1153" s="202"/>
      <c r="O1153" s="283" t="s">
        <v>721</v>
      </c>
      <c r="P1153" s="176"/>
      <c r="Q1153" s="177"/>
      <c r="R1153" s="132"/>
      <c r="S1153" s="21"/>
    </row>
    <row r="1154" spans="1:22" ht="17.25" outlineLevel="1" thickBot="1" x14ac:dyDescent="0.3">
      <c r="A1154" s="1006" t="s">
        <v>628</v>
      </c>
      <c r="B1154" s="1007"/>
      <c r="C1154" s="364"/>
      <c r="D1154" s="365">
        <f>SUM(D1152:D1153)</f>
        <v>2362510.19</v>
      </c>
      <c r="E1154" s="239"/>
      <c r="F1154" s="239"/>
      <c r="G1154" s="366">
        <f>SUM(G1152:G1153)</f>
        <v>2590876.9446</v>
      </c>
      <c r="H1154" s="309"/>
      <c r="I1154" s="321"/>
      <c r="J1154" s="365">
        <f>SUM(J1152:J1153)</f>
        <v>2362510.19</v>
      </c>
      <c r="K1154" s="365">
        <f>SUM(K1152:K1153)</f>
        <v>2362510.19</v>
      </c>
      <c r="L1154" s="367"/>
      <c r="M1154" s="365"/>
      <c r="N1154" s="368">
        <f>AVERAGE(N1152:N1153)</f>
        <v>1</v>
      </c>
      <c r="O1154" s="369"/>
      <c r="P1154" s="176"/>
      <c r="Q1154" s="177"/>
      <c r="R1154" s="132"/>
      <c r="S1154" s="21"/>
    </row>
    <row r="1155" spans="1:22" s="5" customFormat="1" ht="33" x14ac:dyDescent="0.25">
      <c r="A1155" s="1027">
        <v>31</v>
      </c>
      <c r="B1155" s="1025" t="s">
        <v>251</v>
      </c>
      <c r="C1155" s="371" t="s">
        <v>500</v>
      </c>
      <c r="D1155" s="372">
        <v>2194458.98</v>
      </c>
      <c r="E1155" s="220" t="s">
        <v>1193</v>
      </c>
      <c r="F1155" s="220" t="s">
        <v>670</v>
      </c>
      <c r="G1155" s="463">
        <v>2194458.98</v>
      </c>
      <c r="H1155" s="223">
        <v>42755</v>
      </c>
      <c r="I1155" s="223">
        <v>42755</v>
      </c>
      <c r="J1155" s="221">
        <v>2004600.52</v>
      </c>
      <c r="K1155" s="221"/>
      <c r="L1155" s="223"/>
      <c r="M1155" s="221"/>
      <c r="N1155" s="376">
        <v>0</v>
      </c>
      <c r="O1155" s="370"/>
      <c r="P1155" s="176">
        <v>2017</v>
      </c>
      <c r="Q1155" s="177"/>
      <c r="R1155" s="132"/>
      <c r="S1155" s="21"/>
      <c r="T1155" s="18"/>
      <c r="U1155" s="19"/>
      <c r="V1155" s="19"/>
    </row>
    <row r="1156" spans="1:22" ht="49.5" outlineLevel="1" x14ac:dyDescent="0.25">
      <c r="A1156" s="1028"/>
      <c r="B1156" s="1026"/>
      <c r="C1156" s="294" t="s">
        <v>37</v>
      </c>
      <c r="D1156" s="180">
        <v>67136.06</v>
      </c>
      <c r="E1156" s="181" t="s">
        <v>553</v>
      </c>
      <c r="F1156" s="181" t="s">
        <v>537</v>
      </c>
      <c r="G1156" s="182">
        <f>56894.97*1.18</f>
        <v>67136.064599999998</v>
      </c>
      <c r="H1156" s="183">
        <v>42430</v>
      </c>
      <c r="I1156" s="183">
        <v>42393</v>
      </c>
      <c r="J1156" s="184">
        <v>67136.06</v>
      </c>
      <c r="K1156" s="184">
        <v>67136.06</v>
      </c>
      <c r="L1156" s="183"/>
      <c r="M1156" s="184">
        <f>J1156-D1156</f>
        <v>0</v>
      </c>
      <c r="N1156" s="202"/>
      <c r="O1156" s="283" t="s">
        <v>721</v>
      </c>
      <c r="P1156" s="176"/>
      <c r="Q1156" s="177"/>
      <c r="R1156" s="132"/>
      <c r="S1156" s="21"/>
    </row>
    <row r="1157" spans="1:22" ht="17.25" outlineLevel="1" thickBot="1" x14ac:dyDescent="0.3">
      <c r="A1157" s="1006" t="s">
        <v>628</v>
      </c>
      <c r="B1157" s="1007"/>
      <c r="C1157" s="364"/>
      <c r="D1157" s="365">
        <f>SUM(D1155:D1156)</f>
        <v>2261595.04</v>
      </c>
      <c r="E1157" s="239"/>
      <c r="F1157" s="239"/>
      <c r="G1157" s="366">
        <f>SUM(G1155:G1156)</f>
        <v>2261595.0446000001</v>
      </c>
      <c r="H1157" s="309"/>
      <c r="I1157" s="321"/>
      <c r="J1157" s="365">
        <f>SUM(J1155:J1156)</f>
        <v>2071736.58</v>
      </c>
      <c r="K1157" s="365">
        <f>SUM(K1155:K1156)</f>
        <v>67136.06</v>
      </c>
      <c r="L1157" s="367"/>
      <c r="M1157" s="365"/>
      <c r="N1157" s="368">
        <f>AVERAGE(N1155:N1156)</f>
        <v>0</v>
      </c>
      <c r="O1157" s="369"/>
      <c r="P1157" s="176"/>
      <c r="Q1157" s="177"/>
      <c r="R1157" s="168"/>
      <c r="S1157" s="24"/>
      <c r="T1157" s="19"/>
    </row>
    <row r="1158" spans="1:22" s="5" customFormat="1" ht="33" x14ac:dyDescent="0.25">
      <c r="A1158" s="1027">
        <v>32</v>
      </c>
      <c r="B1158" s="1025" t="s">
        <v>525</v>
      </c>
      <c r="C1158" s="197" t="s">
        <v>500</v>
      </c>
      <c r="D1158" s="162">
        <v>3641208.59</v>
      </c>
      <c r="E1158" s="197" t="s">
        <v>855</v>
      </c>
      <c r="F1158" s="197" t="s">
        <v>750</v>
      </c>
      <c r="G1158" s="353">
        <v>3835680.79</v>
      </c>
      <c r="H1158" s="161">
        <v>42576</v>
      </c>
      <c r="I1158" s="161">
        <v>42578</v>
      </c>
      <c r="J1158" s="162">
        <v>3641208.59</v>
      </c>
      <c r="K1158" s="162">
        <v>3641208.59</v>
      </c>
      <c r="L1158" s="161"/>
      <c r="M1158" s="162"/>
      <c r="N1158" s="200">
        <v>1</v>
      </c>
      <c r="O1158" s="370"/>
      <c r="P1158" s="176"/>
      <c r="Q1158" s="177"/>
      <c r="R1158" s="132"/>
      <c r="S1158" s="21"/>
      <c r="T1158" s="18"/>
      <c r="U1158" s="19"/>
      <c r="V1158" s="19"/>
    </row>
    <row r="1159" spans="1:22" ht="49.5" outlineLevel="1" x14ac:dyDescent="0.25">
      <c r="A1159" s="1028"/>
      <c r="B1159" s="1026"/>
      <c r="C1159" s="294" t="s">
        <v>37</v>
      </c>
      <c r="D1159" s="180">
        <v>75106.61</v>
      </c>
      <c r="E1159" s="181" t="s">
        <v>553</v>
      </c>
      <c r="F1159" s="181" t="s">
        <v>537</v>
      </c>
      <c r="G1159" s="182">
        <f>63649.67*1.18</f>
        <v>75106.6106</v>
      </c>
      <c r="H1159" s="183">
        <v>42430</v>
      </c>
      <c r="I1159" s="183">
        <v>42430</v>
      </c>
      <c r="J1159" s="184">
        <v>75106.61</v>
      </c>
      <c r="K1159" s="184">
        <v>75106.61</v>
      </c>
      <c r="L1159" s="183"/>
      <c r="M1159" s="184">
        <f>J1159-D1159</f>
        <v>0</v>
      </c>
      <c r="N1159" s="202"/>
      <c r="O1159" s="283" t="s">
        <v>721</v>
      </c>
      <c r="P1159" s="176"/>
      <c r="Q1159" s="177"/>
      <c r="R1159" s="132"/>
      <c r="S1159" s="21"/>
    </row>
    <row r="1160" spans="1:22" ht="17.25" outlineLevel="1" thickBot="1" x14ac:dyDescent="0.3">
      <c r="A1160" s="1006" t="s">
        <v>628</v>
      </c>
      <c r="B1160" s="1007"/>
      <c r="C1160" s="364"/>
      <c r="D1160" s="365">
        <f>SUM(D1158:D1159)</f>
        <v>3716315.1999999997</v>
      </c>
      <c r="E1160" s="239"/>
      <c r="F1160" s="239"/>
      <c r="G1160" s="366">
        <f>SUM(G1158:G1159)</f>
        <v>3910787.4005999998</v>
      </c>
      <c r="H1160" s="239"/>
      <c r="I1160" s="321"/>
      <c r="J1160" s="365">
        <f>SUM(J1158:J1159)</f>
        <v>3716315.1999999997</v>
      </c>
      <c r="K1160" s="365">
        <f>SUM(K1158:K1159)</f>
        <v>3716315.1999999997</v>
      </c>
      <c r="L1160" s="367"/>
      <c r="M1160" s="365"/>
      <c r="N1160" s="368">
        <f>AVERAGE(N1158:N1159)</f>
        <v>1</v>
      </c>
      <c r="O1160" s="369"/>
      <c r="P1160" s="176"/>
      <c r="Q1160" s="177"/>
      <c r="R1160" s="132"/>
      <c r="S1160" s="21"/>
    </row>
    <row r="1161" spans="1:22" s="5" customFormat="1" ht="33" x14ac:dyDescent="0.25">
      <c r="A1161" s="1027">
        <v>33</v>
      </c>
      <c r="B1161" s="1025" t="s">
        <v>253</v>
      </c>
      <c r="C1161" s="197" t="s">
        <v>500</v>
      </c>
      <c r="D1161" s="162">
        <v>5827865.7999999998</v>
      </c>
      <c r="E1161" s="197" t="s">
        <v>867</v>
      </c>
      <c r="F1161" s="197" t="s">
        <v>775</v>
      </c>
      <c r="G1161" s="353">
        <v>5926153.25</v>
      </c>
      <c r="H1161" s="161">
        <v>42566</v>
      </c>
      <c r="I1161" s="161">
        <v>42566</v>
      </c>
      <c r="J1161" s="162">
        <v>5827865.7999999998</v>
      </c>
      <c r="K1161" s="162">
        <v>5827865.7999999998</v>
      </c>
      <c r="L1161" s="161"/>
      <c r="M1161" s="162"/>
      <c r="N1161" s="200">
        <v>1</v>
      </c>
      <c r="O1161" s="370"/>
      <c r="P1161" s="176"/>
      <c r="Q1161" s="177"/>
      <c r="R1161" s="132"/>
      <c r="S1161" s="21"/>
      <c r="T1161" s="18"/>
      <c r="U1161" s="19"/>
      <c r="V1161" s="19"/>
    </row>
    <row r="1162" spans="1:22" ht="49.5" outlineLevel="1" x14ac:dyDescent="0.25">
      <c r="A1162" s="1028"/>
      <c r="B1162" s="1026"/>
      <c r="C1162" s="294" t="s">
        <v>37</v>
      </c>
      <c r="D1162" s="180">
        <v>69719.78</v>
      </c>
      <c r="E1162" s="181" t="s">
        <v>553</v>
      </c>
      <c r="F1162" s="181" t="s">
        <v>537</v>
      </c>
      <c r="G1162" s="182">
        <f>59084.56*1.18</f>
        <v>69719.780799999993</v>
      </c>
      <c r="H1162" s="183">
        <v>42430</v>
      </c>
      <c r="I1162" s="183">
        <v>42393</v>
      </c>
      <c r="J1162" s="184">
        <v>69719.78</v>
      </c>
      <c r="K1162" s="184">
        <v>69719.78</v>
      </c>
      <c r="L1162" s="183"/>
      <c r="M1162" s="184">
        <f>J1162-D1162</f>
        <v>0</v>
      </c>
      <c r="N1162" s="202"/>
      <c r="O1162" s="283" t="s">
        <v>721</v>
      </c>
      <c r="P1162" s="176"/>
      <c r="Q1162" s="177"/>
      <c r="R1162" s="132"/>
      <c r="S1162" s="21"/>
      <c r="T1162" s="19"/>
    </row>
    <row r="1163" spans="1:22" ht="17.25" outlineLevel="1" thickBot="1" x14ac:dyDescent="0.3">
      <c r="A1163" s="1006" t="s">
        <v>628</v>
      </c>
      <c r="B1163" s="1007"/>
      <c r="C1163" s="364"/>
      <c r="D1163" s="365">
        <f>SUM(D1161:D1162)</f>
        <v>5897585.5800000001</v>
      </c>
      <c r="E1163" s="239"/>
      <c r="F1163" s="239"/>
      <c r="G1163" s="366">
        <f>SUM(G1161:G1162)</f>
        <v>5995873.0307999998</v>
      </c>
      <c r="H1163" s="309"/>
      <c r="I1163" s="321"/>
      <c r="J1163" s="365">
        <f>SUM(J1161:J1162)</f>
        <v>5897585.5800000001</v>
      </c>
      <c r="K1163" s="365">
        <f>SUM(K1161:K1162)</f>
        <v>5897585.5800000001</v>
      </c>
      <c r="L1163" s="367"/>
      <c r="M1163" s="365"/>
      <c r="N1163" s="368">
        <f>AVERAGE(N1161:N1162)</f>
        <v>1</v>
      </c>
      <c r="O1163" s="369"/>
      <c r="P1163" s="176"/>
      <c r="Q1163" s="177"/>
      <c r="R1163" s="132"/>
      <c r="S1163" s="21"/>
    </row>
    <row r="1164" spans="1:22" s="5" customFormat="1" ht="33" x14ac:dyDescent="0.25">
      <c r="A1164" s="1027">
        <v>34</v>
      </c>
      <c r="B1164" s="1025" t="s">
        <v>255</v>
      </c>
      <c r="C1164" s="197" t="s">
        <v>500</v>
      </c>
      <c r="D1164" s="162">
        <v>2663451.5299999998</v>
      </c>
      <c r="E1164" s="197" t="s">
        <v>867</v>
      </c>
      <c r="F1164" s="197" t="s">
        <v>775</v>
      </c>
      <c r="G1164" s="353">
        <v>2584360.5</v>
      </c>
      <c r="H1164" s="161">
        <v>42551</v>
      </c>
      <c r="I1164" s="161">
        <v>42551</v>
      </c>
      <c r="J1164" s="162">
        <v>2663451.5300000003</v>
      </c>
      <c r="K1164" s="162">
        <v>2663451.5300000003</v>
      </c>
      <c r="L1164" s="161"/>
      <c r="M1164" s="162">
        <f>J1164-D1164</f>
        <v>0</v>
      </c>
      <c r="N1164" s="200">
        <v>1</v>
      </c>
      <c r="O1164" s="687"/>
      <c r="P1164" s="176"/>
      <c r="Q1164" s="177"/>
      <c r="R1164" s="132"/>
      <c r="S1164" s="21"/>
      <c r="T1164" s="18"/>
      <c r="U1164" s="19"/>
      <c r="V1164" s="19"/>
    </row>
    <row r="1165" spans="1:22" ht="49.5" outlineLevel="1" x14ac:dyDescent="0.25">
      <c r="A1165" s="1028"/>
      <c r="B1165" s="1026"/>
      <c r="C1165" s="294" t="s">
        <v>37</v>
      </c>
      <c r="D1165" s="180">
        <v>65632.89</v>
      </c>
      <c r="E1165" s="181" t="s">
        <v>553</v>
      </c>
      <c r="F1165" s="181" t="s">
        <v>537</v>
      </c>
      <c r="G1165" s="182">
        <f>55621.09*1.18</f>
        <v>65632.886199999994</v>
      </c>
      <c r="H1165" s="183">
        <v>42430</v>
      </c>
      <c r="I1165" s="183">
        <v>42393</v>
      </c>
      <c r="J1165" s="184">
        <v>65632.89</v>
      </c>
      <c r="K1165" s="184">
        <v>65632.89</v>
      </c>
      <c r="L1165" s="183"/>
      <c r="M1165" s="184">
        <f>J1165-D1165</f>
        <v>0</v>
      </c>
      <c r="N1165" s="202"/>
      <c r="O1165" s="283" t="s">
        <v>721</v>
      </c>
      <c r="P1165" s="176"/>
      <c r="Q1165" s="177"/>
      <c r="R1165" s="132"/>
      <c r="S1165" s="21"/>
    </row>
    <row r="1166" spans="1:22" ht="17.25" outlineLevel="1" thickBot="1" x14ac:dyDescent="0.3">
      <c r="A1166" s="1006" t="s">
        <v>628</v>
      </c>
      <c r="B1166" s="1007"/>
      <c r="C1166" s="364"/>
      <c r="D1166" s="365">
        <f>SUM(D1164:D1165)</f>
        <v>2729084.42</v>
      </c>
      <c r="E1166" s="239"/>
      <c r="F1166" s="239"/>
      <c r="G1166" s="366">
        <f>SUM(G1164:G1165)</f>
        <v>2649993.3862000001</v>
      </c>
      <c r="H1166" s="309"/>
      <c r="I1166" s="321"/>
      <c r="J1166" s="365">
        <f>SUM(J1164:J1165)</f>
        <v>2729084.4200000004</v>
      </c>
      <c r="K1166" s="365">
        <f>SUM(K1164:K1165)</f>
        <v>2729084.4200000004</v>
      </c>
      <c r="L1166" s="367"/>
      <c r="M1166" s="365"/>
      <c r="N1166" s="368">
        <f>AVERAGE(N1164:N1165)</f>
        <v>1</v>
      </c>
      <c r="O1166" s="369"/>
      <c r="P1166" s="176"/>
      <c r="Q1166" s="177"/>
      <c r="R1166" s="132"/>
      <c r="S1166" s="21"/>
    </row>
    <row r="1167" spans="1:22" s="8" customFormat="1" ht="19.5" customHeight="1" outlineLevel="1" thickBot="1" x14ac:dyDescent="0.3">
      <c r="A1167" s="436"/>
      <c r="B1167" s="1078" t="s">
        <v>1097</v>
      </c>
      <c r="C1167" s="1079"/>
      <c r="D1167" s="437">
        <v>1500000</v>
      </c>
      <c r="E1167" s="438"/>
      <c r="F1167" s="439"/>
      <c r="G1167" s="440"/>
      <c r="H1167" s="441"/>
      <c r="I1167" s="442"/>
      <c r="J1167" s="437"/>
      <c r="K1167" s="437"/>
      <c r="L1167" s="443"/>
      <c r="M1167" s="437"/>
      <c r="N1167" s="444"/>
      <c r="O1167" s="445"/>
      <c r="P1167" s="176"/>
      <c r="Q1167" s="446"/>
      <c r="R1167" s="335"/>
      <c r="S1167" s="2"/>
      <c r="T1167" s="2"/>
      <c r="U1167" s="2"/>
      <c r="V1167" s="2"/>
    </row>
    <row r="1168" spans="1:22" ht="17.25" outlineLevel="1" thickBot="1" x14ac:dyDescent="0.3">
      <c r="A1168" s="1134" t="s">
        <v>629</v>
      </c>
      <c r="B1168" s="1135"/>
      <c r="C1168" s="612"/>
      <c r="D1168" s="613">
        <f>D1166+D1163+D1160+D1157+D1154+D1151+D1149+D1146+D1143+D1141+D1138+D1135+D1132+D1129+D1126+D1123+D1121+D1118+D1116+D1113+D1111+D1109+D1107+D1105+D1102+D1099+D1096+D1093+D1090+D1087+D1085+D1082+D1080+D1078+D1167</f>
        <v>167265567.39999998</v>
      </c>
      <c r="E1168" s="612"/>
      <c r="F1168" s="612"/>
      <c r="G1168" s="614">
        <f>G1166+G1163+G1160+G1157+G1154+G1151+G1149+G1146+G1143+G1141+G1138+G1135+G1132+G1129+G1126+G1123+G1121+G1118+G1116+G1113+G1111+G1109+G1107+G1105+G1102+G1099+G1096+G1093+G1090+G1087+G1085+G1082+G1080+G1078</f>
        <v>173623277.54710266</v>
      </c>
      <c r="H1168" s="688"/>
      <c r="I1168" s="615"/>
      <c r="J1168" s="613">
        <f>J1166+J1163+J1160+J1157+J1154+J1151+J1149+J1146+J1143+J1141+J1138+J1135+J1132+J1129+J1126+J1123+J1121+J1118+J1116+J1113+J1111+J1109+J1107+J1105+J1102+J1099+J1096+J1093+J1090+J1087+J1085+J1082+J1080+J1078</f>
        <v>151320595.78999999</v>
      </c>
      <c r="K1168" s="613">
        <f>K1166+K1163+K1160+K1157+K1154+K1151+K1149+K1146+K1143+K1141+K1138+K1135+K1132+K1129+K1126+K1123+K1121+K1118+K1116+K1113+K1111+K1109+K1107+K1105+K1102+K1099+K1096+K1093+K1090+K1087+K1085+K1082+K1080+K1078</f>
        <v>142430168.98999998</v>
      </c>
      <c r="L1168" s="616"/>
      <c r="M1168" s="613"/>
      <c r="N1168" s="617">
        <f>AVERAGE(N1166,N1163,N1160,N1157,N1154,N1151,N1149,N1146,N1143,N1141,N1138,N1135,N1132,N1129,N1126,N1123,N1121,N1118,N1116,N1113,N1111,N1109,N1107,N1105,N1102,N1099,N1096,N1093,N1090,N1087,N1085,N1082,N1080,N1078)</f>
        <v>0.70588235294117652</v>
      </c>
      <c r="O1168" s="618"/>
      <c r="P1168" s="176"/>
      <c r="Q1168" s="177"/>
      <c r="R1168" s="132"/>
      <c r="S1168" s="21"/>
    </row>
    <row r="1169" spans="1:22" s="5" customFormat="1" ht="27.75" customHeight="1" thickBot="1" x14ac:dyDescent="0.3">
      <c r="A1169" s="1034" t="s">
        <v>643</v>
      </c>
      <c r="B1169" s="1035"/>
      <c r="C1169" s="1035"/>
      <c r="D1169" s="1035"/>
      <c r="E1169" s="1035"/>
      <c r="F1169" s="1035"/>
      <c r="G1169" s="1035"/>
      <c r="H1169" s="1035"/>
      <c r="I1169" s="1035"/>
      <c r="J1169" s="1035"/>
      <c r="K1169" s="1035"/>
      <c r="L1169" s="1035"/>
      <c r="M1169" s="1035"/>
      <c r="N1169" s="1035"/>
      <c r="O1169" s="1035"/>
      <c r="P1169" s="176"/>
      <c r="Q1169" s="177"/>
      <c r="R1169" s="132"/>
      <c r="S1169" s="21"/>
      <c r="T1169" s="18"/>
      <c r="U1169" s="19"/>
      <c r="V1169" s="19"/>
    </row>
    <row r="1170" spans="1:22" s="8" customFormat="1" ht="40.5" customHeight="1" x14ac:dyDescent="0.25">
      <c r="A1170" s="1082">
        <v>1</v>
      </c>
      <c r="B1170" s="1088" t="s">
        <v>16</v>
      </c>
      <c r="C1170" s="401" t="s">
        <v>505</v>
      </c>
      <c r="D1170" s="401">
        <v>3059822.6</v>
      </c>
      <c r="E1170" s="689" t="s">
        <v>1274</v>
      </c>
      <c r="F1170" s="221" t="s">
        <v>1273</v>
      </c>
      <c r="G1170" s="374">
        <v>3059822.6</v>
      </c>
      <c r="H1170" s="179">
        <v>42760</v>
      </c>
      <c r="I1170" s="543"/>
      <c r="J1170" s="544"/>
      <c r="K1170" s="544"/>
      <c r="L1170" s="545"/>
      <c r="M1170" s="544"/>
      <c r="N1170" s="404">
        <v>0</v>
      </c>
      <c r="O1170" s="520"/>
      <c r="P1170" s="176">
        <v>2017</v>
      </c>
      <c r="Q1170" s="446"/>
      <c r="R1170" s="676"/>
      <c r="S1170" s="9"/>
      <c r="T1170" s="9"/>
      <c r="U1170" s="9"/>
      <c r="V1170" s="2"/>
    </row>
    <row r="1171" spans="1:22" s="8" customFormat="1" ht="15.75" customHeight="1" outlineLevel="1" x14ac:dyDescent="0.25">
      <c r="A1171" s="1070"/>
      <c r="B1171" s="1064"/>
      <c r="C1171" s="356" t="s">
        <v>37</v>
      </c>
      <c r="D1171" s="357">
        <v>62339.32</v>
      </c>
      <c r="E1171" s="690" t="s">
        <v>1465</v>
      </c>
      <c r="F1171" s="361" t="s">
        <v>1464</v>
      </c>
      <c r="G1171" s="359">
        <v>52829.93</v>
      </c>
      <c r="H1171" s="360">
        <v>42489</v>
      </c>
      <c r="I1171" s="360">
        <v>42489</v>
      </c>
      <c r="J1171" s="361">
        <v>62339.32</v>
      </c>
      <c r="K1171" s="361">
        <v>62339.32</v>
      </c>
      <c r="L1171" s="360"/>
      <c r="M1171" s="361">
        <f>J1171-D1171</f>
        <v>0</v>
      </c>
      <c r="N1171" s="362"/>
      <c r="O1171" s="466" t="s">
        <v>725</v>
      </c>
      <c r="P1171" s="176"/>
      <c r="Q1171" s="446"/>
      <c r="R1171" s="335"/>
      <c r="S1171" s="2"/>
      <c r="T1171" s="2"/>
      <c r="U1171" s="2"/>
      <c r="V1171" s="2"/>
    </row>
    <row r="1172" spans="1:22" s="8" customFormat="1" ht="17.25" outlineLevel="1" thickBot="1" x14ac:dyDescent="0.3">
      <c r="A1172" s="1006" t="s">
        <v>628</v>
      </c>
      <c r="B1172" s="1007"/>
      <c r="C1172" s="691"/>
      <c r="D1172" s="480">
        <f>SUM(D1170:D1171)</f>
        <v>3122161.92</v>
      </c>
      <c r="E1172" s="692"/>
      <c r="F1172" s="677"/>
      <c r="G1172" s="693">
        <f>SUM(G1170:G1171)</f>
        <v>3112652.5300000003</v>
      </c>
      <c r="H1172" s="309"/>
      <c r="I1172" s="321"/>
      <c r="J1172" s="480">
        <f>SUM(J1170:J1171)</f>
        <v>62339.32</v>
      </c>
      <c r="K1172" s="480">
        <f>SUM(K1170:K1171)</f>
        <v>62339.32</v>
      </c>
      <c r="L1172" s="482"/>
      <c r="M1172" s="480"/>
      <c r="N1172" s="421">
        <f>AVERAGE(N1170:N1171)</f>
        <v>0</v>
      </c>
      <c r="O1172" s="694"/>
      <c r="P1172" s="176"/>
      <c r="Q1172" s="446"/>
      <c r="R1172" s="335"/>
      <c r="S1172" s="2"/>
      <c r="T1172" s="2"/>
      <c r="U1172" s="2"/>
      <c r="V1172" s="2"/>
    </row>
    <row r="1173" spans="1:22" s="8" customFormat="1" ht="16.5" x14ac:dyDescent="0.25">
      <c r="A1173" s="1069">
        <v>2</v>
      </c>
      <c r="B1173" s="1080" t="s">
        <v>17</v>
      </c>
      <c r="C1173" s="695" t="s">
        <v>501</v>
      </c>
      <c r="D1173" s="696">
        <v>2700000</v>
      </c>
      <c r="E1173" s="697"/>
      <c r="F1173" s="225"/>
      <c r="G1173" s="698"/>
      <c r="H1173" s="223">
        <v>42916</v>
      </c>
      <c r="I1173" s="224"/>
      <c r="J1173" s="225"/>
      <c r="K1173" s="225"/>
      <c r="L1173" s="226"/>
      <c r="M1173" s="225"/>
      <c r="N1173" s="376">
        <v>0</v>
      </c>
      <c r="O1173" s="699"/>
      <c r="P1173" s="176">
        <v>2017</v>
      </c>
      <c r="Q1173" s="446"/>
      <c r="R1173" s="676"/>
      <c r="S1173" s="9"/>
      <c r="T1173" s="9"/>
      <c r="U1173" s="9"/>
      <c r="V1173" s="2"/>
    </row>
    <row r="1174" spans="1:22" s="8" customFormat="1" ht="15.75" customHeight="1" outlineLevel="1" x14ac:dyDescent="0.25">
      <c r="A1174" s="1070"/>
      <c r="B1174" s="1064"/>
      <c r="C1174" s="356" t="s">
        <v>37</v>
      </c>
      <c r="D1174" s="357">
        <v>160000</v>
      </c>
      <c r="E1174" s="690"/>
      <c r="F1174" s="361"/>
      <c r="G1174" s="359"/>
      <c r="H1174" s="360"/>
      <c r="I1174" s="393"/>
      <c r="J1174" s="361"/>
      <c r="K1174" s="361"/>
      <c r="L1174" s="360"/>
      <c r="M1174" s="361"/>
      <c r="N1174" s="362"/>
      <c r="O1174" s="466" t="s">
        <v>722</v>
      </c>
      <c r="P1174" s="176"/>
      <c r="Q1174" s="446"/>
      <c r="R1174" s="335"/>
      <c r="S1174" s="2"/>
      <c r="T1174" s="2"/>
      <c r="U1174" s="2"/>
      <c r="V1174" s="2"/>
    </row>
    <row r="1175" spans="1:22" s="8" customFormat="1" ht="17.25" outlineLevel="1" thickBot="1" x14ac:dyDescent="0.3">
      <c r="A1175" s="1006" t="s">
        <v>628</v>
      </c>
      <c r="B1175" s="1007"/>
      <c r="C1175" s="691"/>
      <c r="D1175" s="480">
        <f>SUM(D1173:D1174)</f>
        <v>2860000</v>
      </c>
      <c r="E1175" s="692"/>
      <c r="F1175" s="677"/>
      <c r="G1175" s="693">
        <f>SUM(G1173:G1174)</f>
        <v>0</v>
      </c>
      <c r="H1175" s="309"/>
      <c r="I1175" s="321"/>
      <c r="J1175" s="480">
        <f>SUM(J1173:J1174)</f>
        <v>0</v>
      </c>
      <c r="K1175" s="480">
        <f>SUM(K1173:K1174)</f>
        <v>0</v>
      </c>
      <c r="L1175" s="482"/>
      <c r="M1175" s="480"/>
      <c r="N1175" s="421">
        <f>AVERAGE(N1173:N1174)</f>
        <v>0</v>
      </c>
      <c r="O1175" s="694"/>
      <c r="P1175" s="176"/>
      <c r="Q1175" s="446"/>
      <c r="R1175" s="335"/>
      <c r="S1175" s="2"/>
      <c r="T1175" s="2"/>
      <c r="U1175" s="2"/>
      <c r="V1175" s="2"/>
    </row>
    <row r="1176" spans="1:22" s="8" customFormat="1" ht="33" x14ac:dyDescent="0.25">
      <c r="A1176" s="1069">
        <v>3</v>
      </c>
      <c r="B1176" s="1080" t="s">
        <v>269</v>
      </c>
      <c r="C1176" s="278" t="s">
        <v>500</v>
      </c>
      <c r="D1176" s="159">
        <v>3492348.05</v>
      </c>
      <c r="E1176" s="700" t="s">
        <v>889</v>
      </c>
      <c r="F1176" s="162" t="s">
        <v>763</v>
      </c>
      <c r="G1176" s="160">
        <v>3435184.14</v>
      </c>
      <c r="H1176" s="161">
        <v>42576</v>
      </c>
      <c r="I1176" s="161">
        <v>42556</v>
      </c>
      <c r="J1176" s="162">
        <v>3492348.0500000003</v>
      </c>
      <c r="K1176" s="162">
        <v>3492348.05</v>
      </c>
      <c r="L1176" s="198"/>
      <c r="M1176" s="162">
        <f>J1176-D1176</f>
        <v>0</v>
      </c>
      <c r="N1176" s="200">
        <v>1</v>
      </c>
      <c r="O1176" s="699"/>
      <c r="P1176" s="176"/>
      <c r="Q1176" s="446"/>
      <c r="R1176" s="676"/>
      <c r="S1176" s="9"/>
      <c r="T1176" s="9"/>
      <c r="U1176" s="9"/>
      <c r="V1176" s="2"/>
    </row>
    <row r="1177" spans="1:22" s="8" customFormat="1" ht="49.5" outlineLevel="1" x14ac:dyDescent="0.25">
      <c r="A1177" s="1070"/>
      <c r="B1177" s="1064"/>
      <c r="C1177" s="294" t="s">
        <v>37</v>
      </c>
      <c r="D1177" s="180">
        <v>64390.76</v>
      </c>
      <c r="E1177" s="701" t="s">
        <v>565</v>
      </c>
      <c r="F1177" s="184" t="s">
        <v>564</v>
      </c>
      <c r="G1177" s="182">
        <v>64390.76</v>
      </c>
      <c r="H1177" s="183">
        <v>42419</v>
      </c>
      <c r="I1177" s="183">
        <v>42419</v>
      </c>
      <c r="J1177" s="184">
        <v>64390.76</v>
      </c>
      <c r="K1177" s="184">
        <v>64390.76</v>
      </c>
      <c r="L1177" s="183"/>
      <c r="M1177" s="184">
        <f>J1177-D1177</f>
        <v>0</v>
      </c>
      <c r="N1177" s="202"/>
      <c r="O1177" s="283" t="s">
        <v>722</v>
      </c>
      <c r="P1177" s="176"/>
      <c r="Q1177" s="446"/>
      <c r="R1177" s="335"/>
      <c r="S1177" s="2"/>
      <c r="T1177" s="2"/>
      <c r="U1177" s="2"/>
      <c r="V1177" s="2"/>
    </row>
    <row r="1178" spans="1:22" s="8" customFormat="1" ht="17.25" outlineLevel="1" thickBot="1" x14ac:dyDescent="0.3">
      <c r="A1178" s="1006" t="s">
        <v>628</v>
      </c>
      <c r="B1178" s="1007"/>
      <c r="C1178" s="691"/>
      <c r="D1178" s="480">
        <f>SUM(D1176:D1177)</f>
        <v>3556738.8099999996</v>
      </c>
      <c r="E1178" s="692"/>
      <c r="F1178" s="677"/>
      <c r="G1178" s="693">
        <f>SUM(G1176:G1177)</f>
        <v>3499574.9</v>
      </c>
      <c r="H1178" s="309"/>
      <c r="I1178" s="321"/>
      <c r="J1178" s="480">
        <f>SUM(J1176:J1177)</f>
        <v>3556738.81</v>
      </c>
      <c r="K1178" s="480">
        <f>SUM(K1176:K1177)</f>
        <v>3556738.8099999996</v>
      </c>
      <c r="L1178" s="482"/>
      <c r="M1178" s="480"/>
      <c r="N1178" s="421">
        <f>AVERAGE(N1176:N1177)</f>
        <v>1</v>
      </c>
      <c r="O1178" s="694"/>
      <c r="P1178" s="176"/>
      <c r="Q1178" s="446"/>
      <c r="R1178" s="335"/>
      <c r="S1178" s="2"/>
      <c r="T1178" s="2"/>
      <c r="U1178" s="2"/>
      <c r="V1178" s="2"/>
    </row>
    <row r="1179" spans="1:22" s="8" customFormat="1" ht="33" outlineLevel="1" x14ac:dyDescent="0.25">
      <c r="A1179" s="1070">
        <v>4</v>
      </c>
      <c r="B1179" s="1073" t="s">
        <v>270</v>
      </c>
      <c r="C1179" s="342" t="s">
        <v>501</v>
      </c>
      <c r="D1179" s="339">
        <v>4107398.5</v>
      </c>
      <c r="E1179" s="702" t="s">
        <v>1102</v>
      </c>
      <c r="F1179" s="173" t="s">
        <v>1055</v>
      </c>
      <c r="G1179" s="703">
        <v>4107398.5</v>
      </c>
      <c r="H1179" s="171">
        <v>42809</v>
      </c>
      <c r="I1179" s="172"/>
      <c r="J1179" s="173"/>
      <c r="K1179" s="173"/>
      <c r="L1179" s="171"/>
      <c r="M1179" s="173"/>
      <c r="N1179" s="460">
        <v>0.2</v>
      </c>
      <c r="O1179" s="704"/>
      <c r="P1179" s="176">
        <v>2017</v>
      </c>
      <c r="Q1179" s="446"/>
      <c r="R1179" s="335"/>
      <c r="S1179" s="2"/>
      <c r="T1179" s="2"/>
      <c r="U1179" s="2"/>
      <c r="V1179" s="2"/>
    </row>
    <row r="1180" spans="1:22" s="8" customFormat="1" ht="49.5" outlineLevel="1" x14ac:dyDescent="0.25">
      <c r="A1180" s="1070"/>
      <c r="B1180" s="1088"/>
      <c r="C1180" s="294" t="s">
        <v>37</v>
      </c>
      <c r="D1180" s="180">
        <v>67800.11</v>
      </c>
      <c r="E1180" s="701" t="s">
        <v>565</v>
      </c>
      <c r="F1180" s="184" t="s">
        <v>564</v>
      </c>
      <c r="G1180" s="182">
        <v>67800.11</v>
      </c>
      <c r="H1180" s="183">
        <v>42419</v>
      </c>
      <c r="I1180" s="183">
        <v>42419</v>
      </c>
      <c r="J1180" s="184">
        <v>67800.11</v>
      </c>
      <c r="K1180" s="184">
        <v>67800.11</v>
      </c>
      <c r="L1180" s="183"/>
      <c r="M1180" s="184">
        <f>J1180-D1180</f>
        <v>0</v>
      </c>
      <c r="N1180" s="202"/>
      <c r="O1180" s="283" t="s">
        <v>723</v>
      </c>
      <c r="P1180" s="176"/>
      <c r="Q1180" s="446"/>
      <c r="R1180" s="335"/>
      <c r="S1180" s="2"/>
      <c r="T1180" s="2"/>
      <c r="U1180" s="2"/>
      <c r="V1180" s="2"/>
    </row>
    <row r="1181" spans="1:22" s="8" customFormat="1" ht="17.25" outlineLevel="1" thickBot="1" x14ac:dyDescent="0.3">
      <c r="A1181" s="1010" t="s">
        <v>628</v>
      </c>
      <c r="B1181" s="1011"/>
      <c r="C1181" s="607"/>
      <c r="D1181" s="577">
        <f>SUM(D1179:D1180)</f>
        <v>4175198.61</v>
      </c>
      <c r="E1181" s="705"/>
      <c r="F1181" s="310"/>
      <c r="G1181" s="706">
        <f>SUM(G1179:G1180)</f>
        <v>4175198.61</v>
      </c>
      <c r="H1181" s="308"/>
      <c r="I1181" s="277"/>
      <c r="J1181" s="577">
        <f>SUM(J1179:J1180)</f>
        <v>67800.11</v>
      </c>
      <c r="K1181" s="577">
        <f>SUM(K1179:K1180)</f>
        <v>67800.11</v>
      </c>
      <c r="L1181" s="579"/>
      <c r="M1181" s="577"/>
      <c r="N1181" s="606">
        <f>AVERAGE(N1179:N1180)</f>
        <v>0.2</v>
      </c>
      <c r="O1181" s="707"/>
      <c r="P1181" s="176"/>
      <c r="Q1181" s="446"/>
      <c r="R1181" s="335"/>
      <c r="S1181" s="2"/>
      <c r="T1181" s="2"/>
      <c r="U1181" s="2"/>
      <c r="V1181" s="2"/>
    </row>
    <row r="1182" spans="1:22" s="8" customFormat="1" ht="66" x14ac:dyDescent="0.25">
      <c r="A1182" s="1071">
        <v>5</v>
      </c>
      <c r="B1182" s="1073" t="s">
        <v>271</v>
      </c>
      <c r="C1182" s="695" t="s">
        <v>501</v>
      </c>
      <c r="D1182" s="696">
        <v>17105000</v>
      </c>
      <c r="E1182" s="407" t="s">
        <v>1036</v>
      </c>
      <c r="F1182" s="221" t="s">
        <v>985</v>
      </c>
      <c r="G1182" s="698">
        <v>15902758.52</v>
      </c>
      <c r="H1182" s="223">
        <v>42724</v>
      </c>
      <c r="I1182" s="224"/>
      <c r="J1182" s="225"/>
      <c r="K1182" s="225"/>
      <c r="L1182" s="226"/>
      <c r="M1182" s="225"/>
      <c r="N1182" s="376">
        <v>0.5</v>
      </c>
      <c r="O1182" s="699"/>
      <c r="P1182" s="176">
        <v>2017</v>
      </c>
      <c r="Q1182" s="526" t="s">
        <v>1133</v>
      </c>
      <c r="R1182" s="676"/>
      <c r="S1182" s="9"/>
      <c r="T1182" s="9"/>
      <c r="U1182" s="9"/>
      <c r="V1182" s="2"/>
    </row>
    <row r="1183" spans="1:22" s="8" customFormat="1" ht="49.5" outlineLevel="1" x14ac:dyDescent="0.25">
      <c r="A1183" s="1072"/>
      <c r="B1183" s="1074"/>
      <c r="C1183" s="294" t="s">
        <v>37</v>
      </c>
      <c r="D1183" s="180">
        <v>104753.15</v>
      </c>
      <c r="E1183" s="701" t="s">
        <v>565</v>
      </c>
      <c r="F1183" s="184" t="s">
        <v>564</v>
      </c>
      <c r="G1183" s="182">
        <v>104753.15</v>
      </c>
      <c r="H1183" s="183">
        <v>42419</v>
      </c>
      <c r="I1183" s="183">
        <v>42419</v>
      </c>
      <c r="J1183" s="184">
        <v>104753.15</v>
      </c>
      <c r="K1183" s="184">
        <v>104753.15</v>
      </c>
      <c r="L1183" s="183"/>
      <c r="M1183" s="184">
        <f>J1183-D1183</f>
        <v>0</v>
      </c>
      <c r="N1183" s="202"/>
      <c r="O1183" s="283" t="s">
        <v>707</v>
      </c>
      <c r="P1183" s="176"/>
      <c r="Q1183" s="446"/>
      <c r="R1183" s="335"/>
      <c r="S1183" s="2"/>
      <c r="T1183" s="2"/>
      <c r="U1183" s="2"/>
      <c r="V1183" s="2"/>
    </row>
    <row r="1184" spans="1:22" s="11" customFormat="1" ht="33" outlineLevel="1" x14ac:dyDescent="0.25">
      <c r="A1184" s="1082"/>
      <c r="B1184" s="1088"/>
      <c r="C1184" s="286" t="s">
        <v>1095</v>
      </c>
      <c r="D1184" s="246">
        <v>117341.152398822</v>
      </c>
      <c r="E1184" s="705"/>
      <c r="F1184" s="310"/>
      <c r="G1184" s="708"/>
      <c r="H1184" s="308"/>
      <c r="I1184" s="308"/>
      <c r="J1184" s="310"/>
      <c r="K1184" s="310"/>
      <c r="L1184" s="308"/>
      <c r="M1184" s="310"/>
      <c r="N1184" s="709"/>
      <c r="O1184" s="287"/>
      <c r="P1184" s="176"/>
      <c r="Q1184" s="446"/>
      <c r="R1184" s="335"/>
      <c r="S1184" s="2"/>
      <c r="T1184" s="2"/>
      <c r="U1184" s="2"/>
      <c r="V1184" s="2"/>
    </row>
    <row r="1185" spans="1:22" s="8" customFormat="1" ht="17.25" outlineLevel="1" thickBot="1" x14ac:dyDescent="0.3">
      <c r="A1185" s="1006" t="s">
        <v>628</v>
      </c>
      <c r="B1185" s="1007"/>
      <c r="C1185" s="691"/>
      <c r="D1185" s="480">
        <f>SUM(D1182:D1184)</f>
        <v>17327094.302398819</v>
      </c>
      <c r="E1185" s="692"/>
      <c r="F1185" s="677"/>
      <c r="G1185" s="693">
        <f>SUM(G1182:G1183)</f>
        <v>16007511.67</v>
      </c>
      <c r="H1185" s="309"/>
      <c r="I1185" s="321"/>
      <c r="J1185" s="480">
        <f>SUM(J1182:J1183)</f>
        <v>104753.15</v>
      </c>
      <c r="K1185" s="480">
        <f>SUM(K1182:K1183)</f>
        <v>104753.15</v>
      </c>
      <c r="L1185" s="482"/>
      <c r="M1185" s="480"/>
      <c r="N1185" s="421">
        <f>AVERAGE(N1182:N1183)</f>
        <v>0.5</v>
      </c>
      <c r="O1185" s="694"/>
      <c r="P1185" s="176"/>
      <c r="Q1185" s="446"/>
      <c r="R1185" s="335"/>
      <c r="S1185" s="2"/>
      <c r="T1185" s="2"/>
      <c r="U1185" s="2"/>
      <c r="V1185" s="2"/>
    </row>
    <row r="1186" spans="1:22" s="8" customFormat="1" ht="49.5" x14ac:dyDescent="0.25">
      <c r="A1186" s="1069">
        <v>6</v>
      </c>
      <c r="B1186" s="1080" t="s">
        <v>268</v>
      </c>
      <c r="C1186" s="695" t="s">
        <v>501</v>
      </c>
      <c r="D1186" s="696">
        <v>14930001.369999999</v>
      </c>
      <c r="E1186" s="407" t="s">
        <v>1102</v>
      </c>
      <c r="F1186" s="221" t="s">
        <v>1055</v>
      </c>
      <c r="G1186" s="698">
        <v>14930001.369999999</v>
      </c>
      <c r="H1186" s="223">
        <v>42809</v>
      </c>
      <c r="I1186" s="224"/>
      <c r="J1186" s="225"/>
      <c r="K1186" s="225"/>
      <c r="L1186" s="226"/>
      <c r="M1186" s="225"/>
      <c r="N1186" s="376">
        <v>0.15</v>
      </c>
      <c r="O1186" s="699"/>
      <c r="P1186" s="176">
        <v>2017</v>
      </c>
      <c r="Q1186" s="526" t="s">
        <v>1132</v>
      </c>
      <c r="R1186" s="676"/>
      <c r="S1186" s="9"/>
      <c r="T1186" s="9"/>
      <c r="U1186" s="9"/>
      <c r="V1186" s="2"/>
    </row>
    <row r="1187" spans="1:22" s="8" customFormat="1" ht="49.5" outlineLevel="1" x14ac:dyDescent="0.25">
      <c r="A1187" s="1070"/>
      <c r="B1187" s="1064"/>
      <c r="C1187" s="294" t="s">
        <v>37</v>
      </c>
      <c r="D1187" s="180">
        <v>104416.71</v>
      </c>
      <c r="E1187" s="701" t="s">
        <v>565</v>
      </c>
      <c r="F1187" s="184" t="s">
        <v>564</v>
      </c>
      <c r="G1187" s="182">
        <v>104416.71</v>
      </c>
      <c r="H1187" s="183">
        <v>42419</v>
      </c>
      <c r="I1187" s="183">
        <v>42419</v>
      </c>
      <c r="J1187" s="184">
        <v>104416.71</v>
      </c>
      <c r="K1187" s="184">
        <v>104416.71</v>
      </c>
      <c r="L1187" s="183"/>
      <c r="M1187" s="184">
        <f>J1187-D1187</f>
        <v>0</v>
      </c>
      <c r="N1187" s="202"/>
      <c r="O1187" s="283" t="s">
        <v>722</v>
      </c>
      <c r="P1187" s="176"/>
      <c r="Q1187" s="446"/>
      <c r="R1187" s="335"/>
      <c r="S1187" s="2"/>
      <c r="T1187" s="2"/>
      <c r="U1187" s="2"/>
      <c r="V1187" s="2"/>
    </row>
    <row r="1188" spans="1:22" s="8" customFormat="1" ht="17.25" outlineLevel="1" thickBot="1" x14ac:dyDescent="0.3">
      <c r="A1188" s="1006" t="s">
        <v>628</v>
      </c>
      <c r="B1188" s="1007"/>
      <c r="C1188" s="691"/>
      <c r="D1188" s="480">
        <f>SUM(D1186:D1187)</f>
        <v>15034418.08</v>
      </c>
      <c r="E1188" s="692"/>
      <c r="F1188" s="677"/>
      <c r="G1188" s="693">
        <f>SUM(G1186:G1187)</f>
        <v>15034418.08</v>
      </c>
      <c r="H1188" s="309"/>
      <c r="I1188" s="321"/>
      <c r="J1188" s="480">
        <f>SUM(J1186:J1187)</f>
        <v>104416.71</v>
      </c>
      <c r="K1188" s="480">
        <f>SUM(K1186:K1187)</f>
        <v>104416.71</v>
      </c>
      <c r="L1188" s="482"/>
      <c r="M1188" s="480"/>
      <c r="N1188" s="421">
        <f>AVERAGE(N1186:N1187)</f>
        <v>0.15</v>
      </c>
      <c r="O1188" s="694"/>
      <c r="P1188" s="176"/>
      <c r="Q1188" s="446"/>
      <c r="R1188" s="335"/>
      <c r="S1188" s="2"/>
      <c r="T1188" s="2"/>
      <c r="U1188" s="2"/>
      <c r="V1188" s="2"/>
    </row>
    <row r="1189" spans="1:22" s="8" customFormat="1" ht="66" x14ac:dyDescent="0.25">
      <c r="A1189" s="1071">
        <v>7</v>
      </c>
      <c r="B1189" s="1073" t="s">
        <v>273</v>
      </c>
      <c r="C1189" s="695" t="s">
        <v>501</v>
      </c>
      <c r="D1189" s="696">
        <v>28730000</v>
      </c>
      <c r="E1189" s="407" t="s">
        <v>1033</v>
      </c>
      <c r="F1189" s="221" t="s">
        <v>775</v>
      </c>
      <c r="G1189" s="698">
        <v>27730174.379999999</v>
      </c>
      <c r="H1189" s="223">
        <v>42704</v>
      </c>
      <c r="I1189" s="224"/>
      <c r="J1189" s="225"/>
      <c r="K1189" s="225"/>
      <c r="L1189" s="226"/>
      <c r="M1189" s="225"/>
      <c r="N1189" s="376">
        <v>0.5</v>
      </c>
      <c r="O1189" s="699"/>
      <c r="P1189" s="176">
        <v>2017</v>
      </c>
      <c r="Q1189" s="526" t="s">
        <v>1133</v>
      </c>
      <c r="R1189" s="676"/>
      <c r="S1189" s="9"/>
      <c r="T1189" s="9"/>
      <c r="U1189" s="9"/>
      <c r="V1189" s="2"/>
    </row>
    <row r="1190" spans="1:22" s="8" customFormat="1" ht="49.5" outlineLevel="1" x14ac:dyDescent="0.25">
      <c r="A1190" s="1072"/>
      <c r="B1190" s="1074"/>
      <c r="C1190" s="294" t="s">
        <v>37</v>
      </c>
      <c r="D1190" s="180">
        <v>105654.75</v>
      </c>
      <c r="E1190" s="701" t="s">
        <v>565</v>
      </c>
      <c r="F1190" s="184" t="s">
        <v>564</v>
      </c>
      <c r="G1190" s="182">
        <v>105654.75</v>
      </c>
      <c r="H1190" s="183">
        <v>42419</v>
      </c>
      <c r="I1190" s="183">
        <v>42419</v>
      </c>
      <c r="J1190" s="184">
        <v>105654.75</v>
      </c>
      <c r="K1190" s="184">
        <v>105654.75</v>
      </c>
      <c r="L1190" s="183"/>
      <c r="M1190" s="184">
        <f>J1190-D1190</f>
        <v>0</v>
      </c>
      <c r="N1190" s="202"/>
      <c r="O1190" s="283" t="s">
        <v>722</v>
      </c>
      <c r="P1190" s="176"/>
      <c r="Q1190" s="446"/>
      <c r="R1190" s="335"/>
      <c r="S1190" s="2"/>
      <c r="T1190" s="2"/>
      <c r="U1190" s="2"/>
      <c r="V1190" s="2"/>
    </row>
    <row r="1191" spans="1:22" s="11" customFormat="1" ht="33" outlineLevel="1" x14ac:dyDescent="0.25">
      <c r="A1191" s="1082"/>
      <c r="B1191" s="1088"/>
      <c r="C1191" s="286" t="s">
        <v>1095</v>
      </c>
      <c r="D1191" s="246">
        <v>186522.56415401501</v>
      </c>
      <c r="E1191" s="705"/>
      <c r="F1191" s="310"/>
      <c r="G1191" s="708"/>
      <c r="H1191" s="308"/>
      <c r="I1191" s="308"/>
      <c r="J1191" s="310"/>
      <c r="K1191" s="310"/>
      <c r="L1191" s="308"/>
      <c r="M1191" s="310"/>
      <c r="N1191" s="709"/>
      <c r="O1191" s="287"/>
      <c r="P1191" s="176"/>
      <c r="Q1191" s="446"/>
      <c r="R1191" s="335"/>
      <c r="S1191" s="2"/>
      <c r="T1191" s="2"/>
      <c r="U1191" s="2"/>
      <c r="V1191" s="2"/>
    </row>
    <row r="1192" spans="1:22" s="8" customFormat="1" ht="17.25" outlineLevel="1" thickBot="1" x14ac:dyDescent="0.3">
      <c r="A1192" s="1006" t="s">
        <v>628</v>
      </c>
      <c r="B1192" s="1007"/>
      <c r="C1192" s="691"/>
      <c r="D1192" s="480">
        <f>SUM(D1189:D1191)</f>
        <v>29022177.314154014</v>
      </c>
      <c r="E1192" s="692"/>
      <c r="F1192" s="677"/>
      <c r="G1192" s="693">
        <f>SUM(G1189:G1190)</f>
        <v>27835829.129999999</v>
      </c>
      <c r="H1192" s="309"/>
      <c r="I1192" s="321"/>
      <c r="J1192" s="480">
        <f>SUM(J1189:J1190)</f>
        <v>105654.75</v>
      </c>
      <c r="K1192" s="480">
        <f>SUM(K1189:K1190)</f>
        <v>105654.75</v>
      </c>
      <c r="L1192" s="482"/>
      <c r="M1192" s="480"/>
      <c r="N1192" s="421">
        <f>AVERAGE(N1189:N1190)</f>
        <v>0.5</v>
      </c>
      <c r="O1192" s="694"/>
      <c r="P1192" s="176"/>
      <c r="Q1192" s="446"/>
      <c r="R1192" s="335"/>
      <c r="S1192" s="2"/>
      <c r="T1192" s="2"/>
      <c r="U1192" s="2"/>
      <c r="V1192" s="2"/>
    </row>
    <row r="1193" spans="1:22" s="8" customFormat="1" ht="31.5" customHeight="1" x14ac:dyDescent="0.25">
      <c r="A1193" s="1069">
        <v>8</v>
      </c>
      <c r="B1193" s="1080" t="s">
        <v>526</v>
      </c>
      <c r="C1193" s="278" t="s">
        <v>501</v>
      </c>
      <c r="D1193" s="159">
        <v>16086000</v>
      </c>
      <c r="E1193" s="710" t="s">
        <v>1054</v>
      </c>
      <c r="F1193" s="162" t="s">
        <v>1055</v>
      </c>
      <c r="G1193" s="160">
        <v>15086000</v>
      </c>
      <c r="H1193" s="161">
        <v>42689</v>
      </c>
      <c r="I1193" s="161">
        <v>42699</v>
      </c>
      <c r="J1193" s="162">
        <v>14300000</v>
      </c>
      <c r="K1193" s="199">
        <v>14300000</v>
      </c>
      <c r="L1193" s="198"/>
      <c r="M1193" s="199"/>
      <c r="N1193" s="200">
        <v>1</v>
      </c>
      <c r="O1193" s="699"/>
      <c r="P1193" s="176">
        <v>2017</v>
      </c>
      <c r="Q1193" s="526" t="s">
        <v>1134</v>
      </c>
      <c r="R1193" s="676"/>
      <c r="S1193" s="9"/>
      <c r="T1193" s="9"/>
      <c r="U1193" s="9"/>
      <c r="V1193" s="2"/>
    </row>
    <row r="1194" spans="1:22" s="8" customFormat="1" ht="49.5" outlineLevel="1" x14ac:dyDescent="0.25">
      <c r="A1194" s="1070"/>
      <c r="B1194" s="1064"/>
      <c r="C1194" s="294" t="s">
        <v>37</v>
      </c>
      <c r="D1194" s="180">
        <v>103963.03</v>
      </c>
      <c r="E1194" s="701" t="s">
        <v>565</v>
      </c>
      <c r="F1194" s="184" t="s">
        <v>564</v>
      </c>
      <c r="G1194" s="182">
        <v>103963.03</v>
      </c>
      <c r="H1194" s="183">
        <v>42419</v>
      </c>
      <c r="I1194" s="183">
        <v>42419</v>
      </c>
      <c r="J1194" s="184">
        <v>103963.03</v>
      </c>
      <c r="K1194" s="184">
        <v>103963.03</v>
      </c>
      <c r="L1194" s="183"/>
      <c r="M1194" s="184">
        <f>J1194-D1194</f>
        <v>0</v>
      </c>
      <c r="N1194" s="202"/>
      <c r="O1194" s="283" t="s">
        <v>692</v>
      </c>
      <c r="P1194" s="176"/>
      <c r="Q1194" s="446"/>
      <c r="R1194" s="335"/>
      <c r="S1194" s="2"/>
      <c r="T1194" s="2"/>
      <c r="U1194" s="2"/>
      <c r="V1194" s="2"/>
    </row>
    <row r="1195" spans="1:22" s="8" customFormat="1" ht="17.25" outlineLevel="1" thickBot="1" x14ac:dyDescent="0.3">
      <c r="A1195" s="1006" t="s">
        <v>628</v>
      </c>
      <c r="B1195" s="1007"/>
      <c r="C1195" s="691"/>
      <c r="D1195" s="480">
        <f>SUM(D1193:D1194)</f>
        <v>16189963.029999999</v>
      </c>
      <c r="E1195" s="692"/>
      <c r="F1195" s="677"/>
      <c r="G1195" s="693">
        <f>SUM(G1193:G1194)</f>
        <v>15189963.029999999</v>
      </c>
      <c r="H1195" s="309"/>
      <c r="I1195" s="321"/>
      <c r="J1195" s="480">
        <f>SUM(J1193:J1194)</f>
        <v>14403963.029999999</v>
      </c>
      <c r="K1195" s="480">
        <f>SUM(K1193:K1194)</f>
        <v>14403963.029999999</v>
      </c>
      <c r="L1195" s="482"/>
      <c r="M1195" s="480"/>
      <c r="N1195" s="421">
        <f>AVERAGE(N1193:N1194)</f>
        <v>1</v>
      </c>
      <c r="O1195" s="694"/>
      <c r="P1195" s="176"/>
      <c r="Q1195" s="446"/>
      <c r="R1195" s="335"/>
      <c r="S1195" s="2"/>
      <c r="T1195" s="2"/>
      <c r="U1195" s="2"/>
      <c r="V1195" s="2"/>
    </row>
    <row r="1196" spans="1:22" s="8" customFormat="1" ht="33" x14ac:dyDescent="0.25">
      <c r="A1196" s="1069">
        <v>9</v>
      </c>
      <c r="B1196" s="1080" t="s">
        <v>274</v>
      </c>
      <c r="C1196" s="695" t="s">
        <v>501</v>
      </c>
      <c r="D1196" s="696">
        <v>17562600.129999999</v>
      </c>
      <c r="E1196" s="407" t="s">
        <v>1102</v>
      </c>
      <c r="F1196" s="221" t="s">
        <v>1055</v>
      </c>
      <c r="G1196" s="698">
        <v>17562600.129999999</v>
      </c>
      <c r="H1196" s="223">
        <v>42809</v>
      </c>
      <c r="I1196" s="224"/>
      <c r="J1196" s="225"/>
      <c r="K1196" s="225"/>
      <c r="L1196" s="226"/>
      <c r="M1196" s="225"/>
      <c r="N1196" s="164">
        <v>0.15</v>
      </c>
      <c r="O1196" s="699"/>
      <c r="P1196" s="176">
        <v>2017</v>
      </c>
      <c r="Q1196" s="446"/>
      <c r="R1196" s="676"/>
      <c r="S1196" s="9"/>
      <c r="T1196" s="9"/>
      <c r="U1196" s="9"/>
      <c r="V1196" s="2"/>
    </row>
    <row r="1197" spans="1:22" s="8" customFormat="1" ht="49.5" outlineLevel="1" x14ac:dyDescent="0.25">
      <c r="A1197" s="1070"/>
      <c r="B1197" s="1064"/>
      <c r="C1197" s="294" t="s">
        <v>37</v>
      </c>
      <c r="D1197" s="180">
        <v>102093.17</v>
      </c>
      <c r="E1197" s="701" t="s">
        <v>565</v>
      </c>
      <c r="F1197" s="184" t="s">
        <v>564</v>
      </c>
      <c r="G1197" s="182">
        <v>102093.18</v>
      </c>
      <c r="H1197" s="183">
        <v>42419</v>
      </c>
      <c r="I1197" s="183">
        <v>42419</v>
      </c>
      <c r="J1197" s="184">
        <v>102093.17</v>
      </c>
      <c r="K1197" s="184">
        <v>102093.17</v>
      </c>
      <c r="L1197" s="183"/>
      <c r="M1197" s="184">
        <f>J1197-D1197</f>
        <v>0</v>
      </c>
      <c r="N1197" s="202"/>
      <c r="O1197" s="283" t="s">
        <v>692</v>
      </c>
      <c r="P1197" s="176"/>
      <c r="Q1197" s="446"/>
      <c r="R1197" s="335"/>
      <c r="S1197" s="2"/>
      <c r="T1197" s="2"/>
      <c r="U1197" s="2"/>
      <c r="V1197" s="2"/>
    </row>
    <row r="1198" spans="1:22" s="8" customFormat="1" ht="17.25" outlineLevel="1" thickBot="1" x14ac:dyDescent="0.3">
      <c r="A1198" s="1006" t="s">
        <v>628</v>
      </c>
      <c r="B1198" s="1007"/>
      <c r="C1198" s="691"/>
      <c r="D1198" s="480">
        <f>SUM(D1196:D1197)</f>
        <v>17664693.300000001</v>
      </c>
      <c r="E1198" s="692"/>
      <c r="F1198" s="677"/>
      <c r="G1198" s="693">
        <f>SUM(G1196:G1197)</f>
        <v>17664693.309999999</v>
      </c>
      <c r="H1198" s="309"/>
      <c r="I1198" s="321"/>
      <c r="J1198" s="480">
        <f>SUM(J1196:J1197)</f>
        <v>102093.17</v>
      </c>
      <c r="K1198" s="480">
        <f>SUM(K1196:K1197)</f>
        <v>102093.17</v>
      </c>
      <c r="L1198" s="482"/>
      <c r="M1198" s="480"/>
      <c r="N1198" s="421">
        <f>AVERAGE(N1196:N1197)</f>
        <v>0.15</v>
      </c>
      <c r="O1198" s="694"/>
      <c r="P1198" s="176"/>
      <c r="Q1198" s="446"/>
      <c r="R1198" s="335"/>
      <c r="S1198" s="2"/>
      <c r="T1198" s="2"/>
      <c r="U1198" s="2"/>
      <c r="V1198" s="2"/>
    </row>
    <row r="1199" spans="1:22" s="8" customFormat="1" ht="33" x14ac:dyDescent="0.25">
      <c r="A1199" s="1069">
        <v>10</v>
      </c>
      <c r="B1199" s="1080" t="s">
        <v>275</v>
      </c>
      <c r="C1199" s="278" t="s">
        <v>34</v>
      </c>
      <c r="D1199" s="159">
        <v>4088753.66</v>
      </c>
      <c r="E1199" s="700" t="s">
        <v>889</v>
      </c>
      <c r="F1199" s="162" t="s">
        <v>763</v>
      </c>
      <c r="G1199" s="160">
        <v>4141143.86</v>
      </c>
      <c r="H1199" s="161">
        <v>42576</v>
      </c>
      <c r="I1199" s="161">
        <v>42556</v>
      </c>
      <c r="J1199" s="162">
        <v>4088753.66</v>
      </c>
      <c r="K1199" s="162">
        <v>4088753.66</v>
      </c>
      <c r="L1199" s="198"/>
      <c r="M1199" s="199">
        <f>J1199-D1199</f>
        <v>0</v>
      </c>
      <c r="N1199" s="200">
        <v>1</v>
      </c>
      <c r="O1199" s="699"/>
      <c r="P1199" s="176"/>
      <c r="Q1199" s="446"/>
      <c r="R1199" s="676"/>
      <c r="S1199" s="9"/>
      <c r="T1199" s="9"/>
      <c r="U1199" s="9"/>
      <c r="V1199" s="2"/>
    </row>
    <row r="1200" spans="1:22" s="8" customFormat="1" ht="49.5" outlineLevel="1" x14ac:dyDescent="0.25">
      <c r="A1200" s="1070"/>
      <c r="B1200" s="1064"/>
      <c r="C1200" s="294" t="s">
        <v>37</v>
      </c>
      <c r="D1200" s="180">
        <v>101469.27</v>
      </c>
      <c r="E1200" s="701" t="s">
        <v>565</v>
      </c>
      <c r="F1200" s="184" t="s">
        <v>564</v>
      </c>
      <c r="G1200" s="182">
        <v>101469.27</v>
      </c>
      <c r="H1200" s="183">
        <v>42419</v>
      </c>
      <c r="I1200" s="183">
        <v>42419</v>
      </c>
      <c r="J1200" s="184">
        <v>101469.27</v>
      </c>
      <c r="K1200" s="184">
        <v>101469.27</v>
      </c>
      <c r="L1200" s="183"/>
      <c r="M1200" s="184">
        <f>J1200-D1200</f>
        <v>0</v>
      </c>
      <c r="N1200" s="202"/>
      <c r="O1200" s="283" t="s">
        <v>719</v>
      </c>
      <c r="P1200" s="176"/>
      <c r="Q1200" s="446"/>
      <c r="R1200" s="335"/>
      <c r="S1200" s="2"/>
      <c r="T1200" s="2"/>
      <c r="U1200" s="2"/>
      <c r="V1200" s="2"/>
    </row>
    <row r="1201" spans="1:22" s="8" customFormat="1" ht="17.25" outlineLevel="1" thickBot="1" x14ac:dyDescent="0.3">
      <c r="A1201" s="1006" t="s">
        <v>628</v>
      </c>
      <c r="B1201" s="1007"/>
      <c r="C1201" s="691"/>
      <c r="D1201" s="480">
        <f>SUM(D1199:D1200)</f>
        <v>4190222.93</v>
      </c>
      <c r="E1201" s="692"/>
      <c r="F1201" s="677"/>
      <c r="G1201" s="693">
        <f>SUM(G1199:G1200)</f>
        <v>4242613.13</v>
      </c>
      <c r="H1201" s="309"/>
      <c r="I1201" s="321"/>
      <c r="J1201" s="480">
        <f>SUM(J1199:J1200)</f>
        <v>4190222.93</v>
      </c>
      <c r="K1201" s="480">
        <f>SUM(K1199:K1200)</f>
        <v>4190222.93</v>
      </c>
      <c r="L1201" s="482"/>
      <c r="M1201" s="480"/>
      <c r="N1201" s="421">
        <f>AVERAGE(N1199:N1200)</f>
        <v>1</v>
      </c>
      <c r="O1201" s="694"/>
      <c r="P1201" s="176"/>
      <c r="Q1201" s="446"/>
      <c r="R1201" s="335"/>
      <c r="S1201" s="2"/>
      <c r="T1201" s="2"/>
      <c r="U1201" s="2"/>
      <c r="V1201" s="2"/>
    </row>
    <row r="1202" spans="1:22" s="8" customFormat="1" ht="66" x14ac:dyDescent="0.25">
      <c r="A1202" s="1071">
        <v>11</v>
      </c>
      <c r="B1202" s="1073" t="s">
        <v>272</v>
      </c>
      <c r="C1202" s="695" t="s">
        <v>501</v>
      </c>
      <c r="D1202" s="696">
        <v>19175000</v>
      </c>
      <c r="E1202" s="407" t="s">
        <v>1036</v>
      </c>
      <c r="F1202" s="221" t="s">
        <v>985</v>
      </c>
      <c r="G1202" s="698">
        <v>17175829.84</v>
      </c>
      <c r="H1202" s="223">
        <v>42724</v>
      </c>
      <c r="I1202" s="224"/>
      <c r="J1202" s="225"/>
      <c r="K1202" s="225"/>
      <c r="L1202" s="226"/>
      <c r="M1202" s="225"/>
      <c r="N1202" s="376">
        <v>0.5</v>
      </c>
      <c r="O1202" s="699"/>
      <c r="P1202" s="176">
        <v>2017</v>
      </c>
      <c r="Q1202" s="526" t="s">
        <v>1133</v>
      </c>
      <c r="R1202" s="676"/>
      <c r="S1202" s="9"/>
      <c r="T1202" s="9"/>
      <c r="U1202" s="9"/>
      <c r="V1202" s="2"/>
    </row>
    <row r="1203" spans="1:22" s="8" customFormat="1" ht="49.5" outlineLevel="1" x14ac:dyDescent="0.25">
      <c r="A1203" s="1072"/>
      <c r="B1203" s="1074"/>
      <c r="C1203" s="294" t="s">
        <v>37</v>
      </c>
      <c r="D1203" s="180">
        <v>101413.13</v>
      </c>
      <c r="E1203" s="701" t="s">
        <v>565</v>
      </c>
      <c r="F1203" s="184" t="s">
        <v>564</v>
      </c>
      <c r="G1203" s="182">
        <v>101413.13</v>
      </c>
      <c r="H1203" s="183">
        <v>42419</v>
      </c>
      <c r="I1203" s="183">
        <v>42419</v>
      </c>
      <c r="J1203" s="184">
        <v>101413.13</v>
      </c>
      <c r="K1203" s="184">
        <v>101413.13</v>
      </c>
      <c r="L1203" s="183"/>
      <c r="M1203" s="184">
        <f>J1203-D1203</f>
        <v>0</v>
      </c>
      <c r="N1203" s="202"/>
      <c r="O1203" s="283" t="s">
        <v>722</v>
      </c>
      <c r="P1203" s="176"/>
      <c r="Q1203" s="446"/>
      <c r="R1203" s="335"/>
      <c r="S1203" s="2"/>
      <c r="T1203" s="2"/>
      <c r="U1203" s="2"/>
      <c r="V1203" s="2"/>
    </row>
    <row r="1204" spans="1:22" s="11" customFormat="1" ht="33" outlineLevel="1" x14ac:dyDescent="0.25">
      <c r="A1204" s="1082"/>
      <c r="B1204" s="1088"/>
      <c r="C1204" s="286" t="s">
        <v>1095</v>
      </c>
      <c r="D1204" s="246">
        <v>115430.24412742</v>
      </c>
      <c r="E1204" s="705"/>
      <c r="F1204" s="310"/>
      <c r="G1204" s="708"/>
      <c r="H1204" s="308"/>
      <c r="I1204" s="308"/>
      <c r="J1204" s="310"/>
      <c r="K1204" s="310"/>
      <c r="L1204" s="308"/>
      <c r="M1204" s="310"/>
      <c r="N1204" s="709"/>
      <c r="O1204" s="287"/>
      <c r="P1204" s="176"/>
      <c r="Q1204" s="446"/>
      <c r="R1204" s="335"/>
      <c r="S1204" s="2"/>
      <c r="T1204" s="2"/>
      <c r="U1204" s="2"/>
      <c r="V1204" s="2"/>
    </row>
    <row r="1205" spans="1:22" s="8" customFormat="1" ht="17.25" outlineLevel="1" thickBot="1" x14ac:dyDescent="0.3">
      <c r="A1205" s="1006" t="s">
        <v>628</v>
      </c>
      <c r="B1205" s="1007"/>
      <c r="C1205" s="691"/>
      <c r="D1205" s="480">
        <f>SUM(D1202:D1204)</f>
        <v>19391843.374127418</v>
      </c>
      <c r="E1205" s="692"/>
      <c r="F1205" s="677"/>
      <c r="G1205" s="693">
        <f>SUM(G1202:G1203)</f>
        <v>17277242.969999999</v>
      </c>
      <c r="H1205" s="309"/>
      <c r="I1205" s="321"/>
      <c r="J1205" s="480">
        <f>SUM(J1202:J1203)</f>
        <v>101413.13</v>
      </c>
      <c r="K1205" s="480">
        <f>SUM(K1202:K1203)</f>
        <v>101413.13</v>
      </c>
      <c r="L1205" s="482"/>
      <c r="M1205" s="480"/>
      <c r="N1205" s="421">
        <f>AVERAGE(N1202:N1203)</f>
        <v>0.5</v>
      </c>
      <c r="O1205" s="694"/>
      <c r="P1205" s="176"/>
      <c r="Q1205" s="446"/>
      <c r="R1205" s="335"/>
      <c r="S1205" s="2"/>
      <c r="T1205" s="2"/>
      <c r="U1205" s="2"/>
      <c r="V1205" s="2"/>
    </row>
    <row r="1206" spans="1:22" s="8" customFormat="1" ht="66" x14ac:dyDescent="0.25">
      <c r="A1206" s="1071">
        <v>12</v>
      </c>
      <c r="B1206" s="1073" t="s">
        <v>527</v>
      </c>
      <c r="C1206" s="695" t="s">
        <v>501</v>
      </c>
      <c r="D1206" s="696">
        <v>6390000</v>
      </c>
      <c r="E1206" s="407" t="s">
        <v>988</v>
      </c>
      <c r="F1206" s="221" t="s">
        <v>985</v>
      </c>
      <c r="G1206" s="698">
        <v>5386712.3399999999</v>
      </c>
      <c r="H1206" s="223">
        <v>42679</v>
      </c>
      <c r="I1206" s="224"/>
      <c r="J1206" s="225"/>
      <c r="K1206" s="225"/>
      <c r="L1206" s="226"/>
      <c r="M1206" s="225"/>
      <c r="N1206" s="376">
        <v>0.8</v>
      </c>
      <c r="O1206" s="699"/>
      <c r="P1206" s="176">
        <v>2017</v>
      </c>
      <c r="Q1206" s="526" t="s">
        <v>1133</v>
      </c>
      <c r="R1206" s="676"/>
      <c r="S1206" s="9"/>
      <c r="T1206" s="9"/>
      <c r="U1206" s="9"/>
      <c r="V1206" s="2"/>
    </row>
    <row r="1207" spans="1:22" s="8" customFormat="1" ht="49.5" outlineLevel="1" x14ac:dyDescent="0.25">
      <c r="A1207" s="1072"/>
      <c r="B1207" s="1074"/>
      <c r="C1207" s="294" t="s">
        <v>37</v>
      </c>
      <c r="D1207" s="180">
        <v>81706.09</v>
      </c>
      <c r="E1207" s="701" t="s">
        <v>565</v>
      </c>
      <c r="F1207" s="184" t="s">
        <v>564</v>
      </c>
      <c r="G1207" s="182">
        <v>81706.09</v>
      </c>
      <c r="H1207" s="183">
        <v>42419</v>
      </c>
      <c r="I1207" s="183">
        <v>42419</v>
      </c>
      <c r="J1207" s="184">
        <v>81706.09</v>
      </c>
      <c r="K1207" s="184">
        <v>81706.09</v>
      </c>
      <c r="L1207" s="183"/>
      <c r="M1207" s="184">
        <f>J1207-D1207</f>
        <v>0</v>
      </c>
      <c r="N1207" s="202"/>
      <c r="O1207" s="283" t="s">
        <v>765</v>
      </c>
      <c r="P1207" s="176"/>
      <c r="Q1207" s="446"/>
      <c r="R1207" s="335"/>
      <c r="S1207" s="2"/>
      <c r="T1207" s="2"/>
      <c r="U1207" s="2"/>
      <c r="V1207" s="2"/>
    </row>
    <row r="1208" spans="1:22" s="11" customFormat="1" ht="33" outlineLevel="1" x14ac:dyDescent="0.25">
      <c r="A1208" s="1082"/>
      <c r="B1208" s="1088"/>
      <c r="C1208" s="286" t="s">
        <v>1095</v>
      </c>
      <c r="D1208" s="246">
        <v>36221.167493003202</v>
      </c>
      <c r="E1208" s="705"/>
      <c r="F1208" s="310"/>
      <c r="G1208" s="708"/>
      <c r="H1208" s="308"/>
      <c r="I1208" s="308"/>
      <c r="J1208" s="310"/>
      <c r="K1208" s="310"/>
      <c r="L1208" s="308"/>
      <c r="M1208" s="310"/>
      <c r="N1208" s="709"/>
      <c r="O1208" s="287"/>
      <c r="P1208" s="176"/>
      <c r="Q1208" s="446"/>
      <c r="R1208" s="335"/>
      <c r="S1208" s="2"/>
      <c r="T1208" s="2"/>
      <c r="U1208" s="2"/>
      <c r="V1208" s="2"/>
    </row>
    <row r="1209" spans="1:22" s="8" customFormat="1" ht="17.25" outlineLevel="1" thickBot="1" x14ac:dyDescent="0.3">
      <c r="A1209" s="1006" t="s">
        <v>628</v>
      </c>
      <c r="B1209" s="1007"/>
      <c r="C1209" s="691"/>
      <c r="D1209" s="480">
        <f>SUM(D1206:D1208)</f>
        <v>6507927.2574930033</v>
      </c>
      <c r="E1209" s="692"/>
      <c r="F1209" s="677"/>
      <c r="G1209" s="693">
        <f>SUM(G1206:G1207)</f>
        <v>5468418.4299999997</v>
      </c>
      <c r="H1209" s="309"/>
      <c r="I1209" s="321"/>
      <c r="J1209" s="480">
        <f>SUM(J1206:J1207)</f>
        <v>81706.09</v>
      </c>
      <c r="K1209" s="480">
        <f>SUM(K1206:K1207)</f>
        <v>81706.09</v>
      </c>
      <c r="L1209" s="482"/>
      <c r="M1209" s="480"/>
      <c r="N1209" s="421">
        <f>AVERAGE(N1206:N1207)</f>
        <v>0.8</v>
      </c>
      <c r="O1209" s="694"/>
      <c r="P1209" s="176"/>
      <c r="Q1209" s="446"/>
      <c r="R1209" s="335"/>
      <c r="S1209" s="2"/>
      <c r="T1209" s="2"/>
      <c r="U1209" s="2"/>
      <c r="V1209" s="2"/>
    </row>
    <row r="1210" spans="1:22" s="8" customFormat="1" ht="49.5" x14ac:dyDescent="0.25">
      <c r="A1210" s="1071">
        <v>13</v>
      </c>
      <c r="B1210" s="1073" t="s">
        <v>528</v>
      </c>
      <c r="C1210" s="695" t="s">
        <v>501</v>
      </c>
      <c r="D1210" s="696">
        <v>4050000</v>
      </c>
      <c r="E1210" s="407" t="s">
        <v>988</v>
      </c>
      <c r="F1210" s="221" t="s">
        <v>985</v>
      </c>
      <c r="G1210" s="698">
        <v>3040314.18</v>
      </c>
      <c r="H1210" s="223">
        <v>42679</v>
      </c>
      <c r="I1210" s="224"/>
      <c r="J1210" s="225"/>
      <c r="K1210" s="225"/>
      <c r="L1210" s="226"/>
      <c r="M1210" s="225"/>
      <c r="N1210" s="376">
        <v>0.8</v>
      </c>
      <c r="O1210" s="699"/>
      <c r="P1210" s="176">
        <v>2017</v>
      </c>
      <c r="Q1210" s="526" t="s">
        <v>1135</v>
      </c>
      <c r="R1210" s="676"/>
      <c r="S1210" s="9"/>
      <c r="T1210" s="9"/>
      <c r="U1210" s="9"/>
      <c r="V1210" s="2"/>
    </row>
    <row r="1211" spans="1:22" s="8" customFormat="1" ht="49.5" outlineLevel="1" x14ac:dyDescent="0.25">
      <c r="A1211" s="1072"/>
      <c r="B1211" s="1074"/>
      <c r="C1211" s="294" t="s">
        <v>37</v>
      </c>
      <c r="D1211" s="180">
        <v>68154.11</v>
      </c>
      <c r="E1211" s="701" t="s">
        <v>565</v>
      </c>
      <c r="F1211" s="184" t="s">
        <v>564</v>
      </c>
      <c r="G1211" s="182">
        <v>68154.11</v>
      </c>
      <c r="H1211" s="183">
        <v>42419</v>
      </c>
      <c r="I1211" s="183">
        <v>42419</v>
      </c>
      <c r="J1211" s="184">
        <v>68154.11</v>
      </c>
      <c r="K1211" s="184">
        <v>68154.11</v>
      </c>
      <c r="L1211" s="183"/>
      <c r="M1211" s="184">
        <f>J1211-D1211</f>
        <v>0</v>
      </c>
      <c r="N1211" s="202"/>
      <c r="O1211" s="283" t="s">
        <v>765</v>
      </c>
      <c r="P1211" s="176"/>
      <c r="Q1211" s="446"/>
      <c r="R1211" s="335"/>
      <c r="S1211" s="2"/>
      <c r="T1211" s="2"/>
      <c r="U1211" s="2"/>
      <c r="V1211" s="2"/>
    </row>
    <row r="1212" spans="1:22" s="11" customFormat="1" ht="33" outlineLevel="1" x14ac:dyDescent="0.25">
      <c r="A1212" s="1082"/>
      <c r="B1212" s="1088"/>
      <c r="C1212" s="286" t="s">
        <v>1095</v>
      </c>
      <c r="D1212" s="246">
        <v>20443.573307856899</v>
      </c>
      <c r="E1212" s="705"/>
      <c r="F1212" s="310"/>
      <c r="G1212" s="708"/>
      <c r="H1212" s="308"/>
      <c r="I1212" s="308"/>
      <c r="J1212" s="310"/>
      <c r="K1212" s="310"/>
      <c r="L1212" s="308"/>
      <c r="M1212" s="310"/>
      <c r="N1212" s="709"/>
      <c r="O1212" s="287"/>
      <c r="P1212" s="176"/>
      <c r="Q1212" s="446"/>
      <c r="R1212" s="335"/>
      <c r="S1212" s="2"/>
      <c r="T1212" s="2"/>
      <c r="U1212" s="2"/>
      <c r="V1212" s="2"/>
    </row>
    <row r="1213" spans="1:22" s="8" customFormat="1" ht="17.25" outlineLevel="1" thickBot="1" x14ac:dyDescent="0.3">
      <c r="A1213" s="1006" t="s">
        <v>628</v>
      </c>
      <c r="B1213" s="1007"/>
      <c r="C1213" s="691"/>
      <c r="D1213" s="480">
        <f>SUM(D1210:D1212)</f>
        <v>4138597.6833078568</v>
      </c>
      <c r="E1213" s="692"/>
      <c r="F1213" s="677"/>
      <c r="G1213" s="693">
        <f>SUM(G1210:G1211)</f>
        <v>3108468.29</v>
      </c>
      <c r="H1213" s="309"/>
      <c r="I1213" s="321"/>
      <c r="J1213" s="480">
        <f>SUM(J1210:J1211)</f>
        <v>68154.11</v>
      </c>
      <c r="K1213" s="480">
        <f>SUM(K1210:K1211)</f>
        <v>68154.11</v>
      </c>
      <c r="L1213" s="482"/>
      <c r="M1213" s="480"/>
      <c r="N1213" s="421">
        <f>AVERAGE(N1210:N1211)</f>
        <v>0.8</v>
      </c>
      <c r="O1213" s="694"/>
      <c r="P1213" s="176"/>
      <c r="Q1213" s="446"/>
      <c r="R1213" s="335"/>
      <c r="S1213" s="2"/>
      <c r="T1213" s="2"/>
      <c r="U1213" s="2"/>
      <c r="V1213" s="2"/>
    </row>
    <row r="1214" spans="1:22" s="8" customFormat="1" ht="49.5" x14ac:dyDescent="0.25">
      <c r="A1214" s="1071">
        <v>14</v>
      </c>
      <c r="B1214" s="1073" t="s">
        <v>529</v>
      </c>
      <c r="C1214" s="695" t="s">
        <v>501</v>
      </c>
      <c r="D1214" s="696">
        <v>5333000</v>
      </c>
      <c r="E1214" s="407" t="s">
        <v>988</v>
      </c>
      <c r="F1214" s="221" t="s">
        <v>985</v>
      </c>
      <c r="G1214" s="698">
        <v>4222973.4800000004</v>
      </c>
      <c r="H1214" s="223">
        <v>42679</v>
      </c>
      <c r="I1214" s="224"/>
      <c r="J1214" s="225"/>
      <c r="K1214" s="225"/>
      <c r="L1214" s="226"/>
      <c r="M1214" s="225"/>
      <c r="N1214" s="376">
        <v>0.8</v>
      </c>
      <c r="O1214" s="699"/>
      <c r="P1214" s="176">
        <v>2017</v>
      </c>
      <c r="Q1214" s="526" t="s">
        <v>1135</v>
      </c>
      <c r="R1214" s="676"/>
      <c r="S1214" s="9"/>
      <c r="T1214" s="9"/>
      <c r="U1214" s="9"/>
      <c r="V1214" s="2"/>
    </row>
    <row r="1215" spans="1:22" s="8" customFormat="1" ht="49.5" outlineLevel="1" x14ac:dyDescent="0.25">
      <c r="A1215" s="1072"/>
      <c r="B1215" s="1074"/>
      <c r="C1215" s="294" t="s">
        <v>37</v>
      </c>
      <c r="D1215" s="180">
        <v>68916.5</v>
      </c>
      <c r="E1215" s="701" t="s">
        <v>565</v>
      </c>
      <c r="F1215" s="184" t="s">
        <v>564</v>
      </c>
      <c r="G1215" s="182">
        <v>68916.5</v>
      </c>
      <c r="H1215" s="183">
        <v>42419</v>
      </c>
      <c r="I1215" s="183">
        <v>42419</v>
      </c>
      <c r="J1215" s="184">
        <v>68916.5</v>
      </c>
      <c r="K1215" s="184">
        <v>68916.5</v>
      </c>
      <c r="L1215" s="183"/>
      <c r="M1215" s="184">
        <f>J1215-D1215</f>
        <v>0</v>
      </c>
      <c r="N1215" s="202"/>
      <c r="O1215" s="283" t="s">
        <v>765</v>
      </c>
      <c r="P1215" s="176"/>
      <c r="Q1215" s="446"/>
      <c r="R1215" s="335"/>
      <c r="S1215" s="2"/>
      <c r="T1215" s="2"/>
      <c r="U1215" s="2"/>
      <c r="V1215" s="2"/>
    </row>
    <row r="1216" spans="1:22" s="11" customFormat="1" ht="33" outlineLevel="1" x14ac:dyDescent="0.25">
      <c r="A1216" s="1082"/>
      <c r="B1216" s="1088"/>
      <c r="C1216" s="286" t="s">
        <v>1095</v>
      </c>
      <c r="D1216" s="246">
        <v>28396.013578773502</v>
      </c>
      <c r="E1216" s="705"/>
      <c r="F1216" s="310"/>
      <c r="G1216" s="708"/>
      <c r="H1216" s="308"/>
      <c r="I1216" s="308"/>
      <c r="J1216" s="310"/>
      <c r="K1216" s="310"/>
      <c r="L1216" s="308"/>
      <c r="M1216" s="310"/>
      <c r="N1216" s="709"/>
      <c r="O1216" s="287"/>
      <c r="P1216" s="176"/>
      <c r="Q1216" s="446"/>
      <c r="R1216" s="335"/>
      <c r="S1216" s="2"/>
      <c r="T1216" s="2"/>
      <c r="U1216" s="2"/>
      <c r="V1216" s="2"/>
    </row>
    <row r="1217" spans="1:22" s="8" customFormat="1" ht="17.25" outlineLevel="1" thickBot="1" x14ac:dyDescent="0.3">
      <c r="A1217" s="1006" t="s">
        <v>628</v>
      </c>
      <c r="B1217" s="1007"/>
      <c r="C1217" s="691"/>
      <c r="D1217" s="480">
        <f>SUM(D1214:D1216)</f>
        <v>5430312.5135787735</v>
      </c>
      <c r="E1217" s="692"/>
      <c r="F1217" s="677"/>
      <c r="G1217" s="693">
        <f>SUM(G1214:G1215)</f>
        <v>4291889.9800000004</v>
      </c>
      <c r="H1217" s="309"/>
      <c r="I1217" s="321"/>
      <c r="J1217" s="480">
        <f>SUM(J1214:J1215)</f>
        <v>68916.5</v>
      </c>
      <c r="K1217" s="480">
        <f>SUM(K1214:K1215)</f>
        <v>68916.5</v>
      </c>
      <c r="L1217" s="482"/>
      <c r="M1217" s="480"/>
      <c r="N1217" s="421">
        <f>AVERAGE(N1214:N1215)</f>
        <v>0.8</v>
      </c>
      <c r="O1217" s="694"/>
      <c r="P1217" s="176"/>
      <c r="Q1217" s="446"/>
      <c r="R1217" s="335"/>
      <c r="S1217" s="2"/>
      <c r="T1217" s="2"/>
      <c r="U1217" s="2"/>
      <c r="V1217" s="2"/>
    </row>
    <row r="1218" spans="1:22" s="8" customFormat="1" ht="50.25" customHeight="1" x14ac:dyDescent="0.25">
      <c r="A1218" s="711">
        <v>15</v>
      </c>
      <c r="B1218" s="406" t="s">
        <v>263</v>
      </c>
      <c r="C1218" s="159" t="s">
        <v>34</v>
      </c>
      <c r="D1218" s="159">
        <v>989535.97</v>
      </c>
      <c r="E1218" s="710" t="s">
        <v>888</v>
      </c>
      <c r="F1218" s="162" t="s">
        <v>770</v>
      </c>
      <c r="G1218" s="160">
        <v>1658393.94</v>
      </c>
      <c r="H1218" s="161">
        <v>42565</v>
      </c>
      <c r="I1218" s="161">
        <v>42552</v>
      </c>
      <c r="J1218" s="162">
        <v>989535.97</v>
      </c>
      <c r="K1218" s="162">
        <v>989535.97</v>
      </c>
      <c r="L1218" s="161"/>
      <c r="M1218" s="162">
        <f>J1218-D1218</f>
        <v>0</v>
      </c>
      <c r="N1218" s="200">
        <v>1</v>
      </c>
      <c r="O1218" s="712"/>
      <c r="P1218" s="176"/>
      <c r="Q1218" s="446"/>
      <c r="R1218" s="676"/>
      <c r="S1218" s="9"/>
      <c r="T1218" s="9"/>
      <c r="U1218" s="9"/>
      <c r="V1218" s="2"/>
    </row>
    <row r="1219" spans="1:22" s="8" customFormat="1" ht="17.25" outlineLevel="1" thickBot="1" x14ac:dyDescent="0.3">
      <c r="A1219" s="1006" t="s">
        <v>628</v>
      </c>
      <c r="B1219" s="1007"/>
      <c r="C1219" s="481"/>
      <c r="D1219" s="480">
        <f>SUM(D1218:D1218)</f>
        <v>989535.97</v>
      </c>
      <c r="E1219" s="692"/>
      <c r="F1219" s="677"/>
      <c r="G1219" s="693">
        <f>SUM(G1218:G1218)</f>
        <v>1658393.94</v>
      </c>
      <c r="H1219" s="309"/>
      <c r="I1219" s="321"/>
      <c r="J1219" s="480">
        <f>SUM(J1218:J1218)</f>
        <v>989535.97</v>
      </c>
      <c r="K1219" s="480">
        <f>SUM(K1218:K1218)</f>
        <v>989535.97</v>
      </c>
      <c r="L1219" s="482"/>
      <c r="M1219" s="480"/>
      <c r="N1219" s="421">
        <f>AVERAGE(N1218)</f>
        <v>1</v>
      </c>
      <c r="O1219" s="713"/>
      <c r="P1219" s="176"/>
      <c r="Q1219" s="446"/>
      <c r="R1219" s="335"/>
      <c r="S1219" s="2"/>
      <c r="T1219" s="2"/>
      <c r="U1219" s="2"/>
      <c r="V1219" s="2"/>
    </row>
    <row r="1220" spans="1:22" s="8" customFormat="1" ht="30.75" customHeight="1" x14ac:dyDescent="0.25">
      <c r="A1220" s="711">
        <v>16</v>
      </c>
      <c r="B1220" s="406" t="s">
        <v>264</v>
      </c>
      <c r="C1220" s="159" t="s">
        <v>34</v>
      </c>
      <c r="D1220" s="159">
        <v>1431846.95</v>
      </c>
      <c r="E1220" s="710" t="s">
        <v>888</v>
      </c>
      <c r="F1220" s="162" t="s">
        <v>770</v>
      </c>
      <c r="G1220" s="160">
        <v>2165787.41</v>
      </c>
      <c r="H1220" s="161">
        <v>42565</v>
      </c>
      <c r="I1220" s="161">
        <v>42552</v>
      </c>
      <c r="J1220" s="162">
        <v>1431846.95</v>
      </c>
      <c r="K1220" s="162">
        <v>1431846.95</v>
      </c>
      <c r="L1220" s="161"/>
      <c r="M1220" s="162">
        <f>J1220-D1220</f>
        <v>0</v>
      </c>
      <c r="N1220" s="200">
        <v>1</v>
      </c>
      <c r="O1220" s="712"/>
      <c r="P1220" s="176"/>
      <c r="Q1220" s="446"/>
      <c r="R1220" s="676"/>
      <c r="S1220" s="9"/>
      <c r="T1220" s="9"/>
      <c r="U1220" s="9"/>
      <c r="V1220" s="2"/>
    </row>
    <row r="1221" spans="1:22" s="8" customFormat="1" ht="17.25" outlineLevel="1" thickBot="1" x14ac:dyDescent="0.3">
      <c r="A1221" s="1006" t="s">
        <v>628</v>
      </c>
      <c r="B1221" s="1007"/>
      <c r="C1221" s="481"/>
      <c r="D1221" s="480">
        <f>SUM(D1220:D1220)</f>
        <v>1431846.95</v>
      </c>
      <c r="E1221" s="692"/>
      <c r="F1221" s="677"/>
      <c r="G1221" s="693">
        <f>SUM(G1220:G1220)</f>
        <v>2165787.41</v>
      </c>
      <c r="H1221" s="309"/>
      <c r="I1221" s="321"/>
      <c r="J1221" s="480">
        <f>SUM(J1220:J1220)</f>
        <v>1431846.95</v>
      </c>
      <c r="K1221" s="480">
        <f>SUM(K1220:K1220)</f>
        <v>1431846.95</v>
      </c>
      <c r="L1221" s="482"/>
      <c r="M1221" s="480"/>
      <c r="N1221" s="421">
        <f>AVERAGE(N1220:N1220)</f>
        <v>1</v>
      </c>
      <c r="O1221" s="713"/>
      <c r="P1221" s="176"/>
      <c r="Q1221" s="446"/>
      <c r="R1221" s="335"/>
      <c r="S1221" s="2"/>
      <c r="T1221" s="2"/>
      <c r="U1221" s="2"/>
      <c r="V1221" s="2"/>
    </row>
    <row r="1222" spans="1:22" s="8" customFormat="1" ht="33" x14ac:dyDescent="0.25">
      <c r="A1222" s="1082">
        <v>17</v>
      </c>
      <c r="B1222" s="1088" t="s">
        <v>276</v>
      </c>
      <c r="C1222" s="714" t="s">
        <v>500</v>
      </c>
      <c r="D1222" s="272">
        <v>3578689.43</v>
      </c>
      <c r="E1222" s="700" t="s">
        <v>888</v>
      </c>
      <c r="F1222" s="275" t="s">
        <v>770</v>
      </c>
      <c r="G1222" s="274">
        <v>4075818.65</v>
      </c>
      <c r="H1222" s="212">
        <v>42565</v>
      </c>
      <c r="I1222" s="161">
        <v>42552</v>
      </c>
      <c r="J1222" s="275">
        <v>3562036.13</v>
      </c>
      <c r="K1222" s="275">
        <v>3562036.13</v>
      </c>
      <c r="L1222" s="212"/>
      <c r="M1222" s="162">
        <f>J1222-D1222</f>
        <v>-16653.300000000279</v>
      </c>
      <c r="N1222" s="488">
        <v>1</v>
      </c>
      <c r="O1222" s="715"/>
      <c r="P1222" s="176"/>
      <c r="Q1222" s="446"/>
      <c r="R1222" s="676"/>
      <c r="S1222" s="9"/>
      <c r="T1222" s="9"/>
      <c r="U1222" s="9"/>
      <c r="V1222" s="2"/>
    </row>
    <row r="1223" spans="1:22" s="8" customFormat="1" ht="49.5" outlineLevel="1" x14ac:dyDescent="0.25">
      <c r="A1223" s="1070"/>
      <c r="B1223" s="1064"/>
      <c r="C1223" s="294" t="s">
        <v>37</v>
      </c>
      <c r="D1223" s="180">
        <v>64211.519999999997</v>
      </c>
      <c r="E1223" s="701" t="s">
        <v>565</v>
      </c>
      <c r="F1223" s="184" t="s">
        <v>564</v>
      </c>
      <c r="G1223" s="182">
        <v>64211.519999999997</v>
      </c>
      <c r="H1223" s="183">
        <v>42419</v>
      </c>
      <c r="I1223" s="183">
        <v>42419</v>
      </c>
      <c r="J1223" s="184">
        <v>64211.519999999997</v>
      </c>
      <c r="K1223" s="184">
        <v>64211.519999999997</v>
      </c>
      <c r="L1223" s="183"/>
      <c r="M1223" s="184">
        <f>J1223-D1223</f>
        <v>0</v>
      </c>
      <c r="N1223" s="202"/>
      <c r="O1223" s="283" t="s">
        <v>711</v>
      </c>
      <c r="P1223" s="176"/>
      <c r="Q1223" s="446"/>
      <c r="R1223" s="335"/>
      <c r="S1223" s="2"/>
      <c r="T1223" s="2"/>
      <c r="U1223" s="2"/>
      <c r="V1223" s="2"/>
    </row>
    <row r="1224" spans="1:22" s="8" customFormat="1" ht="17.25" outlineLevel="1" thickBot="1" x14ac:dyDescent="0.3">
      <c r="A1224" s="1006" t="s">
        <v>628</v>
      </c>
      <c r="B1224" s="1007"/>
      <c r="C1224" s="691"/>
      <c r="D1224" s="480">
        <f>SUM(D1222:D1223)</f>
        <v>3642900.95</v>
      </c>
      <c r="E1224" s="692"/>
      <c r="F1224" s="677"/>
      <c r="G1224" s="693">
        <f>SUM(G1222:G1223)</f>
        <v>4140030.17</v>
      </c>
      <c r="H1224" s="309"/>
      <c r="I1224" s="321"/>
      <c r="J1224" s="480">
        <f>SUM(J1222:J1223)</f>
        <v>3626247.65</v>
      </c>
      <c r="K1224" s="480">
        <f>SUM(K1222:K1223)</f>
        <v>3626247.65</v>
      </c>
      <c r="L1224" s="482"/>
      <c r="M1224" s="480"/>
      <c r="N1224" s="421">
        <f>AVERAGE(N1222:N1223)</f>
        <v>1</v>
      </c>
      <c r="O1224" s="694"/>
      <c r="P1224" s="176"/>
      <c r="Q1224" s="446"/>
      <c r="R1224" s="335"/>
      <c r="S1224" s="2"/>
      <c r="T1224" s="2"/>
      <c r="U1224" s="2"/>
      <c r="V1224" s="2"/>
    </row>
    <row r="1225" spans="1:22" s="56" customFormat="1" ht="45.75" customHeight="1" x14ac:dyDescent="0.25">
      <c r="A1225" s="716">
        <v>18</v>
      </c>
      <c r="B1225" s="717" t="s">
        <v>265</v>
      </c>
      <c r="C1225" s="278" t="s">
        <v>501</v>
      </c>
      <c r="D1225" s="159">
        <v>8998599.7599999998</v>
      </c>
      <c r="E1225" s="710" t="s">
        <v>908</v>
      </c>
      <c r="F1225" s="162" t="s">
        <v>828</v>
      </c>
      <c r="G1225" s="160">
        <v>9844000</v>
      </c>
      <c r="H1225" s="161">
        <v>42603</v>
      </c>
      <c r="I1225" s="161">
        <v>42598</v>
      </c>
      <c r="J1225" s="162">
        <v>8998599.7599999998</v>
      </c>
      <c r="K1225" s="162">
        <v>8998599.7599999998</v>
      </c>
      <c r="L1225" s="161"/>
      <c r="M1225" s="162"/>
      <c r="N1225" s="200">
        <v>1</v>
      </c>
      <c r="O1225" s="718"/>
      <c r="P1225" s="176"/>
      <c r="Q1225" s="446"/>
      <c r="R1225" s="719"/>
      <c r="S1225" s="72"/>
      <c r="T1225" s="72"/>
      <c r="U1225" s="72"/>
      <c r="V1225" s="70"/>
    </row>
    <row r="1226" spans="1:22" s="8" customFormat="1" ht="17.25" outlineLevel="1" thickBot="1" x14ac:dyDescent="0.3">
      <c r="A1226" s="1010" t="s">
        <v>628</v>
      </c>
      <c r="B1226" s="1011"/>
      <c r="C1226" s="607"/>
      <c r="D1226" s="577">
        <f>SUM(D1225:D1225)</f>
        <v>8998599.7599999998</v>
      </c>
      <c r="E1226" s="705"/>
      <c r="F1226" s="310"/>
      <c r="G1226" s="706">
        <f>SUM(G1225:G1225)</f>
        <v>9844000</v>
      </c>
      <c r="H1226" s="308"/>
      <c r="I1226" s="277"/>
      <c r="J1226" s="577">
        <f>SUM(J1225:J1225)</f>
        <v>8998599.7599999998</v>
      </c>
      <c r="K1226" s="577">
        <f>SUM(K1225:K1225)</f>
        <v>8998599.7599999998</v>
      </c>
      <c r="L1226" s="579"/>
      <c r="M1226" s="577"/>
      <c r="N1226" s="421">
        <f>AVERAGE(N1225)</f>
        <v>1</v>
      </c>
      <c r="O1226" s="707"/>
      <c r="P1226" s="176"/>
      <c r="Q1226" s="446"/>
      <c r="R1226" s="335"/>
      <c r="S1226" s="2"/>
      <c r="T1226" s="2"/>
      <c r="U1226" s="2"/>
      <c r="V1226" s="2"/>
    </row>
    <row r="1227" spans="1:22" s="8" customFormat="1" ht="47.25" customHeight="1" x14ac:dyDescent="0.25">
      <c r="A1227" s="711">
        <v>19</v>
      </c>
      <c r="B1227" s="406" t="s">
        <v>266</v>
      </c>
      <c r="C1227" s="695" t="s">
        <v>501</v>
      </c>
      <c r="D1227" s="696">
        <v>6480000</v>
      </c>
      <c r="E1227" s="407" t="s">
        <v>1185</v>
      </c>
      <c r="F1227" s="407" t="s">
        <v>1060</v>
      </c>
      <c r="G1227" s="698">
        <v>4482888.4400000004</v>
      </c>
      <c r="H1227" s="223">
        <v>42794</v>
      </c>
      <c r="I1227" s="224"/>
      <c r="J1227" s="225"/>
      <c r="K1227" s="225"/>
      <c r="L1227" s="226"/>
      <c r="M1227" s="225"/>
      <c r="N1227" s="376">
        <v>0</v>
      </c>
      <c r="O1227" s="699"/>
      <c r="P1227" s="176">
        <v>2017</v>
      </c>
      <c r="Q1227" s="446"/>
      <c r="R1227" s="676"/>
      <c r="S1227" s="9"/>
      <c r="T1227" s="9"/>
      <c r="U1227" s="9"/>
      <c r="V1227" s="2"/>
    </row>
    <row r="1228" spans="1:22" s="8" customFormat="1" ht="17.25" outlineLevel="1" thickBot="1" x14ac:dyDescent="0.3">
      <c r="A1228" s="1006" t="s">
        <v>628</v>
      </c>
      <c r="B1228" s="1007"/>
      <c r="C1228" s="691"/>
      <c r="D1228" s="480">
        <f>SUM(D1227:D1227)</f>
        <v>6480000</v>
      </c>
      <c r="E1228" s="692"/>
      <c r="F1228" s="677"/>
      <c r="G1228" s="693">
        <f>SUM(G1227:G1227)</f>
        <v>4482888.4400000004</v>
      </c>
      <c r="H1228" s="309"/>
      <c r="I1228" s="321"/>
      <c r="J1228" s="480">
        <f>SUM(J1227:J1227)</f>
        <v>0</v>
      </c>
      <c r="K1228" s="480">
        <f>SUM(K1227:K1227)</f>
        <v>0</v>
      </c>
      <c r="L1228" s="482"/>
      <c r="M1228" s="480"/>
      <c r="N1228" s="421">
        <f>AVERAGE(N1227)</f>
        <v>0</v>
      </c>
      <c r="O1228" s="694"/>
      <c r="P1228" s="176"/>
      <c r="Q1228" s="446"/>
      <c r="R1228" s="335"/>
      <c r="S1228" s="2"/>
      <c r="T1228" s="2"/>
      <c r="U1228" s="2"/>
      <c r="V1228" s="2"/>
    </row>
    <row r="1229" spans="1:22" s="8" customFormat="1" ht="46.5" customHeight="1" x14ac:dyDescent="0.25">
      <c r="A1229" s="1071">
        <v>20</v>
      </c>
      <c r="B1229" s="1089" t="s">
        <v>267</v>
      </c>
      <c r="C1229" s="695" t="s">
        <v>501</v>
      </c>
      <c r="D1229" s="696">
        <v>9796981.3699999992</v>
      </c>
      <c r="E1229" s="407" t="s">
        <v>1146</v>
      </c>
      <c r="F1229" s="221" t="s">
        <v>828</v>
      </c>
      <c r="G1229" s="698">
        <v>9796981.3699999992</v>
      </c>
      <c r="H1229" s="223">
        <v>42620</v>
      </c>
      <c r="I1229" s="224"/>
      <c r="J1229" s="225"/>
      <c r="K1229" s="225"/>
      <c r="L1229" s="226"/>
      <c r="M1229" s="225"/>
      <c r="N1229" s="376">
        <v>0.7</v>
      </c>
      <c r="O1229" s="699"/>
      <c r="P1229" s="176">
        <v>2017</v>
      </c>
      <c r="Q1229" s="526" t="s">
        <v>1136</v>
      </c>
      <c r="R1229" s="676"/>
      <c r="S1229" s="9"/>
      <c r="T1229" s="9"/>
      <c r="U1229" s="9"/>
      <c r="V1229" s="2"/>
    </row>
    <row r="1230" spans="1:22" s="11" customFormat="1" ht="33" outlineLevel="1" x14ac:dyDescent="0.25">
      <c r="A1230" s="1082"/>
      <c r="B1230" s="1081"/>
      <c r="C1230" s="286" t="s">
        <v>1095</v>
      </c>
      <c r="D1230" s="246">
        <v>67954.382029538494</v>
      </c>
      <c r="E1230" s="705"/>
      <c r="F1230" s="310"/>
      <c r="G1230" s="708"/>
      <c r="H1230" s="308"/>
      <c r="I1230" s="308"/>
      <c r="J1230" s="310"/>
      <c r="K1230" s="310"/>
      <c r="L1230" s="308"/>
      <c r="M1230" s="310"/>
      <c r="N1230" s="709"/>
      <c r="O1230" s="287"/>
      <c r="P1230" s="176"/>
      <c r="Q1230" s="446"/>
      <c r="R1230" s="335"/>
      <c r="S1230" s="2"/>
      <c r="T1230" s="2"/>
      <c r="U1230" s="2"/>
      <c r="V1230" s="2"/>
    </row>
    <row r="1231" spans="1:22" s="8" customFormat="1" ht="17.25" outlineLevel="1" thickBot="1" x14ac:dyDescent="0.3">
      <c r="A1231" s="1006" t="s">
        <v>628</v>
      </c>
      <c r="B1231" s="1007"/>
      <c r="C1231" s="691"/>
      <c r="D1231" s="480">
        <f>SUM(D1229:D1230)</f>
        <v>9864935.7520295382</v>
      </c>
      <c r="E1231" s="692"/>
      <c r="F1231" s="677"/>
      <c r="G1231" s="693">
        <f>SUM(G1229:G1229)</f>
        <v>9796981.3699999992</v>
      </c>
      <c r="H1231" s="309"/>
      <c r="I1231" s="321"/>
      <c r="J1231" s="480">
        <f>SUM(J1229:J1229)</f>
        <v>0</v>
      </c>
      <c r="K1231" s="480">
        <f>SUM(K1229:K1229)</f>
        <v>0</v>
      </c>
      <c r="L1231" s="482"/>
      <c r="M1231" s="480"/>
      <c r="N1231" s="421">
        <f>AVERAGE(N1229)</f>
        <v>0.7</v>
      </c>
      <c r="O1231" s="694"/>
      <c r="P1231" s="176"/>
      <c r="Q1231" s="446"/>
      <c r="R1231" s="335"/>
      <c r="S1231" s="2"/>
      <c r="T1231" s="2"/>
      <c r="U1231" s="2"/>
      <c r="V1231" s="2"/>
    </row>
    <row r="1232" spans="1:22" s="8" customFormat="1" ht="66" x14ac:dyDescent="0.25">
      <c r="A1232" s="1071">
        <v>21</v>
      </c>
      <c r="B1232" s="1089" t="s">
        <v>530</v>
      </c>
      <c r="C1232" s="278" t="s">
        <v>501</v>
      </c>
      <c r="D1232" s="159">
        <v>13147018.630000001</v>
      </c>
      <c r="E1232" s="710" t="s">
        <v>1146</v>
      </c>
      <c r="F1232" s="162" t="s">
        <v>828</v>
      </c>
      <c r="G1232" s="160">
        <v>13147018.630000001</v>
      </c>
      <c r="H1232" s="161">
        <v>42804</v>
      </c>
      <c r="I1232" s="161">
        <v>42711</v>
      </c>
      <c r="J1232" s="162">
        <v>12405048.539999999</v>
      </c>
      <c r="K1232" s="162">
        <v>12405048.539999999</v>
      </c>
      <c r="L1232" s="161">
        <v>42753</v>
      </c>
      <c r="M1232" s="199"/>
      <c r="N1232" s="376">
        <v>0.95</v>
      </c>
      <c r="O1232" s="699"/>
      <c r="P1232" s="176">
        <v>2017</v>
      </c>
      <c r="Q1232" s="526" t="s">
        <v>1137</v>
      </c>
      <c r="R1232" s="676"/>
      <c r="S1232" s="9"/>
      <c r="T1232" s="9"/>
      <c r="U1232" s="9"/>
      <c r="V1232" s="2"/>
    </row>
    <row r="1233" spans="1:22" s="8" customFormat="1" ht="49.5" outlineLevel="1" x14ac:dyDescent="0.25">
      <c r="A1233" s="1072"/>
      <c r="B1233" s="1090"/>
      <c r="C1233" s="294" t="s">
        <v>37</v>
      </c>
      <c r="D1233" s="180">
        <v>101007.64</v>
      </c>
      <c r="E1233" s="701" t="s">
        <v>565</v>
      </c>
      <c r="F1233" s="184" t="s">
        <v>564</v>
      </c>
      <c r="G1233" s="182">
        <v>101007.64</v>
      </c>
      <c r="H1233" s="183">
        <v>42419</v>
      </c>
      <c r="I1233" s="183">
        <v>42419</v>
      </c>
      <c r="J1233" s="184">
        <v>101007.64</v>
      </c>
      <c r="K1233" s="184">
        <v>101007.64</v>
      </c>
      <c r="L1233" s="183"/>
      <c r="M1233" s="184">
        <f>J1233-D1233</f>
        <v>0</v>
      </c>
      <c r="N1233" s="202"/>
      <c r="O1233" s="283" t="s">
        <v>726</v>
      </c>
      <c r="P1233" s="176"/>
      <c r="Q1233" s="446"/>
      <c r="R1233" s="335"/>
      <c r="S1233" s="2"/>
      <c r="T1233" s="2"/>
      <c r="U1233" s="2"/>
      <c r="V1233" s="2"/>
    </row>
    <row r="1234" spans="1:22" s="11" customFormat="1" ht="33" outlineLevel="1" x14ac:dyDescent="0.25">
      <c r="A1234" s="1082"/>
      <c r="B1234" s="1081"/>
      <c r="C1234" s="286" t="s">
        <v>1095</v>
      </c>
      <c r="D1234" s="246">
        <v>91191.064244609603</v>
      </c>
      <c r="E1234" s="705"/>
      <c r="F1234" s="310"/>
      <c r="G1234" s="708"/>
      <c r="H1234" s="308"/>
      <c r="I1234" s="308"/>
      <c r="J1234" s="310"/>
      <c r="K1234" s="310"/>
      <c r="L1234" s="308"/>
      <c r="M1234" s="310"/>
      <c r="N1234" s="709"/>
      <c r="O1234" s="287"/>
      <c r="P1234" s="176"/>
      <c r="Q1234" s="446"/>
      <c r="R1234" s="335"/>
      <c r="S1234" s="2"/>
      <c r="T1234" s="2"/>
      <c r="U1234" s="2"/>
      <c r="V1234" s="2"/>
    </row>
    <row r="1235" spans="1:22" s="8" customFormat="1" ht="17.25" outlineLevel="1" thickBot="1" x14ac:dyDescent="0.3">
      <c r="A1235" s="1006" t="s">
        <v>628</v>
      </c>
      <c r="B1235" s="1007"/>
      <c r="C1235" s="691"/>
      <c r="D1235" s="480">
        <f>SUM(D1232:D1234)</f>
        <v>13339217.334244611</v>
      </c>
      <c r="E1235" s="692"/>
      <c r="F1235" s="677"/>
      <c r="G1235" s="693">
        <f>SUM(G1232:G1233)</f>
        <v>13248026.270000001</v>
      </c>
      <c r="H1235" s="309"/>
      <c r="I1235" s="321"/>
      <c r="J1235" s="480">
        <f>SUM(J1232:J1233)</f>
        <v>12506056.18</v>
      </c>
      <c r="K1235" s="480">
        <f>SUM(K1232:K1233)</f>
        <v>12506056.18</v>
      </c>
      <c r="L1235" s="482"/>
      <c r="M1235" s="480"/>
      <c r="N1235" s="421">
        <f>AVERAGE(N1232:N1233)</f>
        <v>0.95</v>
      </c>
      <c r="O1235" s="694"/>
      <c r="P1235" s="176"/>
      <c r="Q1235" s="446"/>
      <c r="R1235" s="335"/>
      <c r="S1235" s="2"/>
      <c r="T1235" s="2"/>
      <c r="U1235" s="2"/>
      <c r="V1235" s="2"/>
    </row>
    <row r="1236" spans="1:22" s="8" customFormat="1" ht="33" x14ac:dyDescent="0.25">
      <c r="A1236" s="1071">
        <v>22</v>
      </c>
      <c r="B1236" s="1089" t="s">
        <v>531</v>
      </c>
      <c r="C1236" s="278" t="s">
        <v>501</v>
      </c>
      <c r="D1236" s="159">
        <v>16980000</v>
      </c>
      <c r="E1236" s="710" t="s">
        <v>923</v>
      </c>
      <c r="F1236" s="162" t="s">
        <v>828</v>
      </c>
      <c r="G1236" s="160">
        <v>14986999.9984028</v>
      </c>
      <c r="H1236" s="161">
        <v>42631</v>
      </c>
      <c r="I1236" s="161">
        <v>42697</v>
      </c>
      <c r="J1236" s="162">
        <v>14723929.08</v>
      </c>
      <c r="K1236" s="162">
        <v>14723929.08</v>
      </c>
      <c r="L1236" s="161">
        <v>42717</v>
      </c>
      <c r="M1236" s="162"/>
      <c r="N1236" s="200">
        <v>1</v>
      </c>
      <c r="O1236" s="718"/>
      <c r="P1236" s="176"/>
      <c r="Q1236" s="201" t="s">
        <v>1114</v>
      </c>
      <c r="R1236" s="676"/>
      <c r="S1236" s="9"/>
      <c r="T1236" s="9"/>
      <c r="U1236" s="9"/>
      <c r="V1236" s="2"/>
    </row>
    <row r="1237" spans="1:22" s="8" customFormat="1" ht="49.5" outlineLevel="1" x14ac:dyDescent="0.25">
      <c r="A1237" s="1072"/>
      <c r="B1237" s="1090"/>
      <c r="C1237" s="294" t="s">
        <v>37</v>
      </c>
      <c r="D1237" s="180">
        <v>96101.49</v>
      </c>
      <c r="E1237" s="701" t="s">
        <v>565</v>
      </c>
      <c r="F1237" s="184" t="s">
        <v>564</v>
      </c>
      <c r="G1237" s="182">
        <v>96101.49</v>
      </c>
      <c r="H1237" s="183">
        <v>42419</v>
      </c>
      <c r="I1237" s="183">
        <v>42419</v>
      </c>
      <c r="J1237" s="184">
        <v>96101.49</v>
      </c>
      <c r="K1237" s="184">
        <v>96101.49</v>
      </c>
      <c r="L1237" s="183"/>
      <c r="M1237" s="184">
        <f>J1237-D1237</f>
        <v>0</v>
      </c>
      <c r="N1237" s="202"/>
      <c r="O1237" s="283" t="s">
        <v>726</v>
      </c>
      <c r="P1237" s="176"/>
      <c r="Q1237" s="446"/>
      <c r="R1237" s="335"/>
      <c r="S1237" s="2"/>
      <c r="T1237" s="2"/>
      <c r="U1237" s="2"/>
      <c r="V1237" s="2"/>
    </row>
    <row r="1238" spans="1:22" s="11" customFormat="1" ht="33" outlineLevel="1" x14ac:dyDescent="0.25">
      <c r="A1238" s="1082"/>
      <c r="B1238" s="1081"/>
      <c r="C1238" s="286" t="s">
        <v>1095</v>
      </c>
      <c r="D1238" s="246">
        <v>107033.023727904</v>
      </c>
      <c r="E1238" s="705"/>
      <c r="F1238" s="310"/>
      <c r="G1238" s="708"/>
      <c r="H1238" s="308"/>
      <c r="I1238" s="308"/>
      <c r="J1238" s="310"/>
      <c r="K1238" s="310"/>
      <c r="L1238" s="308"/>
      <c r="M1238" s="310"/>
      <c r="N1238" s="709"/>
      <c r="O1238" s="287"/>
      <c r="P1238" s="176"/>
      <c r="Q1238" s="446"/>
      <c r="R1238" s="335"/>
      <c r="S1238" s="2"/>
      <c r="T1238" s="2"/>
      <c r="U1238" s="2"/>
      <c r="V1238" s="2"/>
    </row>
    <row r="1239" spans="1:22" s="8" customFormat="1" ht="17.25" outlineLevel="1" thickBot="1" x14ac:dyDescent="0.3">
      <c r="A1239" s="1010" t="s">
        <v>628</v>
      </c>
      <c r="B1239" s="1011"/>
      <c r="C1239" s="607"/>
      <c r="D1239" s="577">
        <f>SUM(D1236:D1238)</f>
        <v>17183134.513727903</v>
      </c>
      <c r="E1239" s="705"/>
      <c r="F1239" s="310"/>
      <c r="G1239" s="706">
        <f>SUM(G1236:G1237)</f>
        <v>15083101.488402801</v>
      </c>
      <c r="H1239" s="308"/>
      <c r="I1239" s="277"/>
      <c r="J1239" s="577">
        <f>SUM(J1236:J1237)</f>
        <v>14820030.57</v>
      </c>
      <c r="K1239" s="577">
        <f>SUM(K1236:K1237)</f>
        <v>14820030.57</v>
      </c>
      <c r="L1239" s="579"/>
      <c r="M1239" s="577"/>
      <c r="N1239" s="421">
        <f>AVERAGE(N1236:N1237)</f>
        <v>1</v>
      </c>
      <c r="O1239" s="707"/>
      <c r="P1239" s="176"/>
      <c r="Q1239" s="446"/>
      <c r="R1239" s="335"/>
      <c r="S1239" s="2"/>
      <c r="T1239" s="2"/>
      <c r="U1239" s="2"/>
      <c r="V1239" s="2"/>
    </row>
    <row r="1240" spans="1:22" s="8" customFormat="1" ht="33" x14ac:dyDescent="0.25">
      <c r="A1240" s="1069">
        <v>23</v>
      </c>
      <c r="B1240" s="1080" t="s">
        <v>277</v>
      </c>
      <c r="C1240" s="278" t="s">
        <v>500</v>
      </c>
      <c r="D1240" s="159">
        <v>1981773.65</v>
      </c>
      <c r="E1240" s="710" t="s">
        <v>916</v>
      </c>
      <c r="F1240" s="162" t="s">
        <v>862</v>
      </c>
      <c r="G1240" s="160">
        <v>2395670.8199999998</v>
      </c>
      <c r="H1240" s="161">
        <v>42571</v>
      </c>
      <c r="I1240" s="161">
        <v>42570</v>
      </c>
      <c r="J1240" s="162">
        <v>1976850.14</v>
      </c>
      <c r="K1240" s="162">
        <v>1976850.14</v>
      </c>
      <c r="L1240" s="161"/>
      <c r="M1240" s="162">
        <f>J1240-D1240</f>
        <v>-4923.5100000000093</v>
      </c>
      <c r="N1240" s="200">
        <v>1</v>
      </c>
      <c r="O1240" s="699"/>
      <c r="P1240" s="176"/>
      <c r="Q1240" s="446"/>
      <c r="R1240" s="676"/>
      <c r="S1240" s="9"/>
      <c r="T1240" s="9"/>
      <c r="U1240" s="9"/>
      <c r="V1240" s="2"/>
    </row>
    <row r="1241" spans="1:22" s="8" customFormat="1" ht="49.5" outlineLevel="1" x14ac:dyDescent="0.25">
      <c r="A1241" s="1070"/>
      <c r="B1241" s="1064"/>
      <c r="C1241" s="294" t="s">
        <v>37</v>
      </c>
      <c r="D1241" s="180">
        <v>67201.22</v>
      </c>
      <c r="E1241" s="701" t="s">
        <v>565</v>
      </c>
      <c r="F1241" s="184" t="s">
        <v>564</v>
      </c>
      <c r="G1241" s="182">
        <v>67201.22</v>
      </c>
      <c r="H1241" s="183">
        <v>42419</v>
      </c>
      <c r="I1241" s="183">
        <v>42419</v>
      </c>
      <c r="J1241" s="184">
        <v>67201.22</v>
      </c>
      <c r="K1241" s="184">
        <v>67201.22</v>
      </c>
      <c r="L1241" s="183"/>
      <c r="M1241" s="184">
        <f>J1241-D1241</f>
        <v>0</v>
      </c>
      <c r="N1241" s="202"/>
      <c r="O1241" s="283" t="s">
        <v>724</v>
      </c>
      <c r="P1241" s="176"/>
      <c r="Q1241" s="446"/>
      <c r="R1241" s="335"/>
      <c r="S1241" s="2"/>
      <c r="T1241" s="2"/>
      <c r="U1241" s="2"/>
      <c r="V1241" s="2"/>
    </row>
    <row r="1242" spans="1:22" s="8" customFormat="1" ht="17.25" outlineLevel="1" thickBot="1" x14ac:dyDescent="0.3">
      <c r="A1242" s="1006" t="s">
        <v>628</v>
      </c>
      <c r="B1242" s="1007"/>
      <c r="C1242" s="691"/>
      <c r="D1242" s="480">
        <f>SUM(D1240:D1241)</f>
        <v>2048974.8699999999</v>
      </c>
      <c r="E1242" s="692"/>
      <c r="F1242" s="677"/>
      <c r="G1242" s="693">
        <f>SUM(G1240:G1241)</f>
        <v>2462872.04</v>
      </c>
      <c r="H1242" s="309"/>
      <c r="I1242" s="321"/>
      <c r="J1242" s="480">
        <f>SUM(J1240:J1241)</f>
        <v>2044051.3599999999</v>
      </c>
      <c r="K1242" s="480">
        <f>SUM(K1240:K1241)</f>
        <v>2044051.3599999999</v>
      </c>
      <c r="L1242" s="482"/>
      <c r="M1242" s="480"/>
      <c r="N1242" s="421">
        <f>AVERAGE(N1240:N1241)</f>
        <v>1</v>
      </c>
      <c r="O1242" s="694"/>
      <c r="P1242" s="176"/>
      <c r="Q1242" s="446"/>
      <c r="R1242" s="335"/>
      <c r="S1242" s="2"/>
      <c r="T1242" s="2"/>
      <c r="U1242" s="2"/>
      <c r="V1242" s="2"/>
    </row>
    <row r="1243" spans="1:22" s="8" customFormat="1" ht="49.5" x14ac:dyDescent="0.25">
      <c r="A1243" s="1071">
        <v>24</v>
      </c>
      <c r="B1243" s="1073" t="s">
        <v>532</v>
      </c>
      <c r="C1243" s="695" t="s">
        <v>501</v>
      </c>
      <c r="D1243" s="696">
        <v>7135000</v>
      </c>
      <c r="E1243" s="407" t="s">
        <v>1033</v>
      </c>
      <c r="F1243" s="221" t="s">
        <v>775</v>
      </c>
      <c r="G1243" s="698">
        <v>5173424.09</v>
      </c>
      <c r="H1243" s="223">
        <v>42704</v>
      </c>
      <c r="I1243" s="224"/>
      <c r="J1243" s="225"/>
      <c r="K1243" s="225"/>
      <c r="L1243" s="226"/>
      <c r="M1243" s="225"/>
      <c r="N1243" s="376">
        <v>0.2</v>
      </c>
      <c r="O1243" s="699"/>
      <c r="P1243" s="176">
        <v>2017</v>
      </c>
      <c r="Q1243" s="526" t="s">
        <v>1138</v>
      </c>
      <c r="R1243" s="676"/>
      <c r="S1243" s="9"/>
      <c r="T1243" s="9"/>
      <c r="U1243" s="9"/>
      <c r="V1243" s="2"/>
    </row>
    <row r="1244" spans="1:22" s="8" customFormat="1" ht="33" customHeight="1" outlineLevel="1" x14ac:dyDescent="0.25">
      <c r="A1244" s="1072"/>
      <c r="B1244" s="1074"/>
      <c r="C1244" s="356" t="s">
        <v>37</v>
      </c>
      <c r="D1244" s="357">
        <v>92954.32</v>
      </c>
      <c r="E1244" s="690" t="s">
        <v>1463</v>
      </c>
      <c r="F1244" s="361" t="s">
        <v>1464</v>
      </c>
      <c r="G1244" s="359">
        <v>78774.850000000006</v>
      </c>
      <c r="H1244" s="360">
        <v>42489</v>
      </c>
      <c r="I1244" s="360">
        <v>42489</v>
      </c>
      <c r="J1244" s="361">
        <v>92954.32</v>
      </c>
      <c r="K1244" s="361">
        <v>92954.32</v>
      </c>
      <c r="L1244" s="360"/>
      <c r="M1244" s="361">
        <f>J1244-D1244</f>
        <v>0</v>
      </c>
      <c r="N1244" s="362"/>
      <c r="O1244" s="466" t="s">
        <v>765</v>
      </c>
      <c r="P1244" s="176"/>
      <c r="Q1244" s="446"/>
      <c r="R1244" s="335"/>
      <c r="S1244" s="2"/>
      <c r="T1244" s="2"/>
      <c r="U1244" s="2"/>
      <c r="V1244" s="2"/>
    </row>
    <row r="1245" spans="1:22" s="11" customFormat="1" ht="33" outlineLevel="1" x14ac:dyDescent="0.25">
      <c r="A1245" s="1082"/>
      <c r="B1245" s="1088"/>
      <c r="C1245" s="286" t="s">
        <v>1095</v>
      </c>
      <c r="D1245" s="246">
        <v>40539.798814967697</v>
      </c>
      <c r="E1245" s="705"/>
      <c r="F1245" s="310"/>
      <c r="G1245" s="708"/>
      <c r="H1245" s="308"/>
      <c r="I1245" s="308"/>
      <c r="J1245" s="310"/>
      <c r="K1245" s="310"/>
      <c r="L1245" s="308"/>
      <c r="M1245" s="310"/>
      <c r="N1245" s="709"/>
      <c r="O1245" s="287"/>
      <c r="P1245" s="176"/>
      <c r="Q1245" s="446"/>
      <c r="R1245" s="335"/>
      <c r="S1245" s="2"/>
      <c r="T1245" s="2"/>
      <c r="U1245" s="2"/>
      <c r="V1245" s="2"/>
    </row>
    <row r="1246" spans="1:22" s="8" customFormat="1" ht="17.25" outlineLevel="1" thickBot="1" x14ac:dyDescent="0.3">
      <c r="A1246" s="1006" t="s">
        <v>628</v>
      </c>
      <c r="B1246" s="1007"/>
      <c r="C1246" s="691"/>
      <c r="D1246" s="480">
        <f>SUM(D1243:D1245)</f>
        <v>7268494.1188149676</v>
      </c>
      <c r="E1246" s="692"/>
      <c r="F1246" s="677"/>
      <c r="G1246" s="693">
        <f>SUM(G1243:G1244)</f>
        <v>5252198.9399999995</v>
      </c>
      <c r="H1246" s="309"/>
      <c r="I1246" s="321"/>
      <c r="J1246" s="480">
        <f t="shared" ref="J1246" si="104">SUM(J1243:J1244)</f>
        <v>92954.32</v>
      </c>
      <c r="K1246" s="480">
        <f>SUM(K1243:K1244)</f>
        <v>92954.32</v>
      </c>
      <c r="L1246" s="482"/>
      <c r="M1246" s="480"/>
      <c r="N1246" s="421">
        <f>AVERAGE(N1243:N1244)</f>
        <v>0.2</v>
      </c>
      <c r="O1246" s="694"/>
      <c r="P1246" s="176"/>
      <c r="Q1246" s="446"/>
      <c r="R1246" s="335"/>
      <c r="S1246" s="2"/>
      <c r="T1246" s="2"/>
      <c r="U1246" s="2"/>
      <c r="V1246" s="2"/>
    </row>
    <row r="1247" spans="1:22" s="8" customFormat="1" ht="49.5" x14ac:dyDescent="0.25">
      <c r="A1247" s="1071">
        <v>25</v>
      </c>
      <c r="B1247" s="1073" t="s">
        <v>278</v>
      </c>
      <c r="C1247" s="695" t="s">
        <v>501</v>
      </c>
      <c r="D1247" s="696">
        <v>8795000</v>
      </c>
      <c r="E1247" s="407" t="s">
        <v>1033</v>
      </c>
      <c r="F1247" s="221" t="s">
        <v>775</v>
      </c>
      <c r="G1247" s="698">
        <v>5696401.5300000003</v>
      </c>
      <c r="H1247" s="223">
        <v>42704</v>
      </c>
      <c r="I1247" s="224"/>
      <c r="J1247" s="225"/>
      <c r="K1247" s="225"/>
      <c r="L1247" s="226"/>
      <c r="M1247" s="225"/>
      <c r="N1247" s="376">
        <v>0.2</v>
      </c>
      <c r="O1247" s="699"/>
      <c r="P1247" s="176">
        <v>2017</v>
      </c>
      <c r="Q1247" s="526" t="s">
        <v>1139</v>
      </c>
      <c r="R1247" s="676"/>
      <c r="S1247" s="9"/>
      <c r="T1247" s="9"/>
      <c r="U1247" s="9"/>
      <c r="V1247" s="2"/>
    </row>
    <row r="1248" spans="1:22" s="8" customFormat="1" ht="49.5" outlineLevel="1" x14ac:dyDescent="0.25">
      <c r="A1248" s="1072"/>
      <c r="B1248" s="1074"/>
      <c r="C1248" s="294" t="s">
        <v>37</v>
      </c>
      <c r="D1248" s="180">
        <v>78354.320000000007</v>
      </c>
      <c r="E1248" s="701" t="s">
        <v>565</v>
      </c>
      <c r="F1248" s="184" t="s">
        <v>564</v>
      </c>
      <c r="G1248" s="182">
        <v>78354.320000000007</v>
      </c>
      <c r="H1248" s="183">
        <v>42419</v>
      </c>
      <c r="I1248" s="183">
        <v>42419</v>
      </c>
      <c r="J1248" s="184">
        <v>78354.320000000007</v>
      </c>
      <c r="K1248" s="184">
        <v>78354.320000000007</v>
      </c>
      <c r="L1248" s="183"/>
      <c r="M1248" s="184">
        <f>J1248-D1248</f>
        <v>0</v>
      </c>
      <c r="N1248" s="202"/>
      <c r="O1248" s="283" t="s">
        <v>765</v>
      </c>
      <c r="P1248" s="176"/>
      <c r="Q1248" s="446"/>
      <c r="R1248" s="335"/>
      <c r="S1248" s="2"/>
      <c r="T1248" s="2"/>
      <c r="U1248" s="2"/>
      <c r="V1248" s="2"/>
    </row>
    <row r="1249" spans="1:22" s="11" customFormat="1" ht="33" outlineLevel="1" x14ac:dyDescent="0.25">
      <c r="A1249" s="1082"/>
      <c r="B1249" s="1088"/>
      <c r="C1249" s="286" t="s">
        <v>1095</v>
      </c>
      <c r="D1249" s="246">
        <v>38315.948769629496</v>
      </c>
      <c r="E1249" s="705"/>
      <c r="F1249" s="310"/>
      <c r="G1249" s="708"/>
      <c r="H1249" s="308"/>
      <c r="I1249" s="308"/>
      <c r="J1249" s="310"/>
      <c r="K1249" s="310"/>
      <c r="L1249" s="308"/>
      <c r="M1249" s="310"/>
      <c r="N1249" s="709"/>
      <c r="O1249" s="287"/>
      <c r="P1249" s="176"/>
      <c r="Q1249" s="446"/>
      <c r="R1249" s="335"/>
      <c r="S1249" s="2"/>
      <c r="T1249" s="2"/>
      <c r="U1249" s="2"/>
      <c r="V1249" s="2"/>
    </row>
    <row r="1250" spans="1:22" s="8" customFormat="1" ht="17.25" outlineLevel="1" thickBot="1" x14ac:dyDescent="0.3">
      <c r="A1250" s="1010" t="s">
        <v>628</v>
      </c>
      <c r="B1250" s="1011"/>
      <c r="C1250" s="607"/>
      <c r="D1250" s="577">
        <f>SUM(D1247:D1249)</f>
        <v>8911670.2687696293</v>
      </c>
      <c r="E1250" s="705"/>
      <c r="F1250" s="310"/>
      <c r="G1250" s="706">
        <f>SUM(G1247:G1248)</f>
        <v>5774755.8500000006</v>
      </c>
      <c r="H1250" s="308"/>
      <c r="I1250" s="277"/>
      <c r="J1250" s="577">
        <f>SUM(J1247:J1248)</f>
        <v>78354.320000000007</v>
      </c>
      <c r="K1250" s="577">
        <f>SUM(K1247:K1248)</f>
        <v>78354.320000000007</v>
      </c>
      <c r="L1250" s="579"/>
      <c r="M1250" s="577"/>
      <c r="N1250" s="421">
        <f>AVERAGE(N1247:N1248)</f>
        <v>0.2</v>
      </c>
      <c r="O1250" s="707"/>
      <c r="P1250" s="176"/>
      <c r="Q1250" s="446"/>
      <c r="R1250" s="335"/>
      <c r="S1250" s="2"/>
      <c r="T1250" s="2"/>
      <c r="U1250" s="2"/>
      <c r="V1250" s="2"/>
    </row>
    <row r="1251" spans="1:22" s="8" customFormat="1" ht="33" x14ac:dyDescent="0.25">
      <c r="A1251" s="1069">
        <v>26</v>
      </c>
      <c r="B1251" s="1080" t="s">
        <v>533</v>
      </c>
      <c r="C1251" s="278" t="s">
        <v>500</v>
      </c>
      <c r="D1251" s="159">
        <v>4431056.9400000004</v>
      </c>
      <c r="E1251" s="710" t="s">
        <v>1180</v>
      </c>
      <c r="F1251" s="162" t="s">
        <v>862</v>
      </c>
      <c r="G1251" s="160">
        <v>4209500</v>
      </c>
      <c r="H1251" s="161">
        <v>42719</v>
      </c>
      <c r="I1251" s="161">
        <v>42727</v>
      </c>
      <c r="J1251" s="162">
        <v>3781366.42</v>
      </c>
      <c r="K1251" s="162">
        <v>3781366.42</v>
      </c>
      <c r="L1251" s="198"/>
      <c r="M1251" s="199"/>
      <c r="N1251" s="376">
        <v>0</v>
      </c>
      <c r="O1251" s="699"/>
      <c r="P1251" s="176">
        <v>2017</v>
      </c>
      <c r="Q1251" s="446"/>
      <c r="R1251" s="676"/>
      <c r="S1251" s="9"/>
      <c r="T1251" s="9"/>
      <c r="U1251" s="9"/>
      <c r="V1251" s="2"/>
    </row>
    <row r="1252" spans="1:22" s="8" customFormat="1" ht="29.25" customHeight="1" outlineLevel="1" x14ac:dyDescent="0.25">
      <c r="A1252" s="1070"/>
      <c r="B1252" s="1064"/>
      <c r="C1252" s="356" t="s">
        <v>37</v>
      </c>
      <c r="D1252" s="357">
        <v>66495.27</v>
      </c>
      <c r="E1252" s="690" t="s">
        <v>1463</v>
      </c>
      <c r="F1252" s="361" t="s">
        <v>1464</v>
      </c>
      <c r="G1252" s="359">
        <v>56351.92</v>
      </c>
      <c r="H1252" s="360">
        <v>42489</v>
      </c>
      <c r="I1252" s="360">
        <v>42489</v>
      </c>
      <c r="J1252" s="361">
        <v>66495.27</v>
      </c>
      <c r="K1252" s="361">
        <v>66495.27</v>
      </c>
      <c r="L1252" s="360"/>
      <c r="M1252" s="361">
        <f>J1252-D1252</f>
        <v>0</v>
      </c>
      <c r="N1252" s="362"/>
      <c r="O1252" s="466" t="s">
        <v>765</v>
      </c>
      <c r="P1252" s="176"/>
      <c r="Q1252" s="446"/>
      <c r="R1252" s="335"/>
      <c r="S1252" s="2"/>
      <c r="T1252" s="2"/>
      <c r="U1252" s="2"/>
      <c r="V1252" s="2"/>
    </row>
    <row r="1253" spans="1:22" s="8" customFormat="1" ht="17.25" outlineLevel="1" thickBot="1" x14ac:dyDescent="0.3">
      <c r="A1253" s="1006" t="s">
        <v>628</v>
      </c>
      <c r="B1253" s="1007"/>
      <c r="C1253" s="691"/>
      <c r="D1253" s="480">
        <f>SUM(D1251:D1252)</f>
        <v>4497552.21</v>
      </c>
      <c r="E1253" s="692"/>
      <c r="F1253" s="677"/>
      <c r="G1253" s="693">
        <f>SUM(G1251:G1252)</f>
        <v>4265851.92</v>
      </c>
      <c r="H1253" s="309"/>
      <c r="I1253" s="321"/>
      <c r="J1253" s="480">
        <f t="shared" ref="J1253" si="105">SUM(J1251:J1252)</f>
        <v>3847861.69</v>
      </c>
      <c r="K1253" s="480">
        <f>SUM(K1251:K1252)</f>
        <v>3847861.69</v>
      </c>
      <c r="L1253" s="482"/>
      <c r="M1253" s="480"/>
      <c r="N1253" s="421">
        <f>AVERAGE(N1251:N1252)</f>
        <v>0</v>
      </c>
      <c r="O1253" s="694"/>
      <c r="P1253" s="176"/>
      <c r="Q1253" s="446"/>
      <c r="R1253" s="335"/>
      <c r="S1253" s="2"/>
      <c r="T1253" s="2"/>
      <c r="U1253" s="2"/>
      <c r="V1253" s="2"/>
    </row>
    <row r="1254" spans="1:22" s="8" customFormat="1" ht="33" x14ac:dyDescent="0.25">
      <c r="A1254" s="1069">
        <v>27</v>
      </c>
      <c r="B1254" s="1080" t="s">
        <v>279</v>
      </c>
      <c r="C1254" s="278" t="s">
        <v>500</v>
      </c>
      <c r="D1254" s="159">
        <v>1847412.8313907001</v>
      </c>
      <c r="E1254" s="710" t="s">
        <v>916</v>
      </c>
      <c r="F1254" s="162" t="s">
        <v>862</v>
      </c>
      <c r="G1254" s="160">
        <v>2329620.1836552848</v>
      </c>
      <c r="H1254" s="161">
        <v>42571</v>
      </c>
      <c r="I1254" s="161">
        <v>42570</v>
      </c>
      <c r="J1254" s="162">
        <v>1825138.84</v>
      </c>
      <c r="K1254" s="162">
        <v>1825138.84</v>
      </c>
      <c r="L1254" s="161"/>
      <c r="M1254" s="162">
        <f>J1254-D1254</f>
        <v>-22273.991390699986</v>
      </c>
      <c r="N1254" s="200">
        <v>1</v>
      </c>
      <c r="O1254" s="699"/>
      <c r="P1254" s="176"/>
      <c r="Q1254" s="446"/>
      <c r="R1254" s="676"/>
      <c r="S1254" s="9"/>
      <c r="T1254" s="9"/>
      <c r="U1254" s="9"/>
      <c r="V1254" s="2"/>
    </row>
    <row r="1255" spans="1:22" s="8" customFormat="1" ht="49.5" outlineLevel="1" x14ac:dyDescent="0.25">
      <c r="A1255" s="1070"/>
      <c r="B1255" s="1064"/>
      <c r="C1255" s="294" t="s">
        <v>37</v>
      </c>
      <c r="D1255" s="180">
        <v>67222.16</v>
      </c>
      <c r="E1255" s="701" t="s">
        <v>565</v>
      </c>
      <c r="F1255" s="184" t="s">
        <v>564</v>
      </c>
      <c r="G1255" s="182">
        <v>67222.16</v>
      </c>
      <c r="H1255" s="183">
        <v>42419</v>
      </c>
      <c r="I1255" s="183">
        <v>42419</v>
      </c>
      <c r="J1255" s="184">
        <v>67222.16</v>
      </c>
      <c r="K1255" s="184">
        <v>67222.16</v>
      </c>
      <c r="L1255" s="183"/>
      <c r="M1255" s="184">
        <f>J1255-D1255</f>
        <v>0</v>
      </c>
      <c r="N1255" s="202"/>
      <c r="O1255" s="283" t="s">
        <v>724</v>
      </c>
      <c r="P1255" s="176"/>
      <c r="Q1255" s="446"/>
      <c r="R1255" s="335"/>
      <c r="S1255" s="2"/>
      <c r="T1255" s="2"/>
      <c r="U1255" s="2"/>
      <c r="V1255" s="2"/>
    </row>
    <row r="1256" spans="1:22" s="8" customFormat="1" ht="17.25" outlineLevel="1" thickBot="1" x14ac:dyDescent="0.3">
      <c r="A1256" s="1006" t="s">
        <v>628</v>
      </c>
      <c r="B1256" s="1007"/>
      <c r="C1256" s="691"/>
      <c r="D1256" s="480">
        <f>SUM(D1254:D1255)</f>
        <v>1914634.9913907</v>
      </c>
      <c r="E1256" s="692"/>
      <c r="F1256" s="677"/>
      <c r="G1256" s="693">
        <f>SUM(G1254:G1255)</f>
        <v>2396842.343655285</v>
      </c>
      <c r="H1256" s="309"/>
      <c r="I1256" s="321"/>
      <c r="J1256" s="480">
        <f>SUM(J1254:J1255)</f>
        <v>1892361</v>
      </c>
      <c r="K1256" s="480">
        <f>SUM(K1254:K1255)</f>
        <v>1892361</v>
      </c>
      <c r="L1256" s="482"/>
      <c r="M1256" s="480"/>
      <c r="N1256" s="421">
        <f>AVERAGE(N1254:N1255)</f>
        <v>1</v>
      </c>
      <c r="O1256" s="694"/>
      <c r="P1256" s="176"/>
      <c r="Q1256" s="446"/>
      <c r="R1256" s="335"/>
      <c r="S1256" s="2"/>
      <c r="T1256" s="2"/>
      <c r="U1256" s="2"/>
      <c r="V1256" s="2"/>
    </row>
    <row r="1257" spans="1:22" s="8" customFormat="1" ht="19.5" customHeight="1" outlineLevel="1" thickBot="1" x14ac:dyDescent="0.3">
      <c r="A1257" s="436"/>
      <c r="B1257" s="1078" t="s">
        <v>1097</v>
      </c>
      <c r="C1257" s="1079"/>
      <c r="D1257" s="437">
        <v>1500000</v>
      </c>
      <c r="E1257" s="438"/>
      <c r="F1257" s="439"/>
      <c r="G1257" s="440"/>
      <c r="H1257" s="441"/>
      <c r="I1257" s="442"/>
      <c r="J1257" s="437"/>
      <c r="K1257" s="437"/>
      <c r="L1257" s="443"/>
      <c r="M1257" s="437"/>
      <c r="N1257" s="444"/>
      <c r="O1257" s="445"/>
      <c r="P1257" s="176"/>
      <c r="Q1257" s="446"/>
      <c r="R1257" s="335"/>
      <c r="S1257" s="2"/>
      <c r="T1257" s="2"/>
      <c r="U1257" s="2"/>
      <c r="V1257" s="2"/>
    </row>
    <row r="1258" spans="1:22" s="8" customFormat="1" ht="17.25" outlineLevel="1" thickBot="1" x14ac:dyDescent="0.3">
      <c r="A1258" s="1134" t="s">
        <v>629</v>
      </c>
      <c r="B1258" s="1135"/>
      <c r="C1258" s="720"/>
      <c r="D1258" s="721">
        <f>D1256+D1253+D1250+D1246+D1242+D1239+D1235+D1231+D1228+D1226+D1224+D1221+D1219+D1217+D1213+D1209+D1205+D1201+D1198+D1195+D1192+D1188+D1185+D1181+D1178+D1175+D1172+D1257</f>
        <v>236682846.81403729</v>
      </c>
      <c r="E1258" s="722"/>
      <c r="F1258" s="723"/>
      <c r="G1258" s="724">
        <f>G1256+G1253+G1250+G1246+G1242+G1239+G1235+G1231+G1228+G1226+G1224+G1221+G1219+G1217+G1213+G1209+G1205+G1201+G1198+G1195+G1192+G1188+G1185+G1181+G1178+G1175+G1172</f>
        <v>217480204.2420581</v>
      </c>
      <c r="H1258" s="688"/>
      <c r="I1258" s="615"/>
      <c r="J1258" s="721">
        <f>J1256+J1253+J1250+J1246+J1242+J1239+J1235+J1231+J1228+J1226+J1224+J1221+J1219+J1217+J1213+J1209+J1205+J1201+J1198+J1195+J1192+J1188+J1185+J1181+J1178+J1175+J1172</f>
        <v>73346071.579999998</v>
      </c>
      <c r="K1258" s="721">
        <f>K1256+K1253+K1250+K1246+K1242+K1239+K1235+K1231+K1228+K1226+K1224+K1221+K1219+K1217+K1213+K1209+K1205+K1201+K1198+K1195+K1192+K1188+K1185+K1181+K1178+K1175+K1172</f>
        <v>73346071.579999998</v>
      </c>
      <c r="L1258" s="725"/>
      <c r="M1258" s="721"/>
      <c r="N1258" s="726">
        <f>AVERAGE(N1256,N1253,N1250,N1246,N1242,N1239,N1235,N1231,N1228,N1226,N1224,N1221,N1219,N1217,N1213,N1209,N1205,N1201,N1198,N1195,N1192,N1188,N1185,N1181,N1178,N1175,N1172)</f>
        <v>0.60925925925925939</v>
      </c>
      <c r="O1258" s="727"/>
      <c r="P1258" s="176"/>
      <c r="Q1258" s="446"/>
      <c r="R1258" s="335"/>
      <c r="S1258" s="2"/>
      <c r="T1258" s="2"/>
      <c r="U1258" s="2"/>
      <c r="V1258" s="2"/>
    </row>
    <row r="1259" spans="1:22" s="8" customFormat="1" ht="22.5" customHeight="1" thickBot="1" x14ac:dyDescent="0.3">
      <c r="A1259" s="1099" t="s">
        <v>644</v>
      </c>
      <c r="B1259" s="1100"/>
      <c r="C1259" s="1100"/>
      <c r="D1259" s="1100"/>
      <c r="E1259" s="1100"/>
      <c r="F1259" s="1100"/>
      <c r="G1259" s="1100"/>
      <c r="H1259" s="1100"/>
      <c r="I1259" s="1100"/>
      <c r="J1259" s="1100"/>
      <c r="K1259" s="1100"/>
      <c r="L1259" s="1100"/>
      <c r="M1259" s="1100"/>
      <c r="N1259" s="1100"/>
      <c r="O1259" s="1100"/>
      <c r="P1259" s="176"/>
      <c r="Q1259" s="446"/>
      <c r="R1259" s="676"/>
      <c r="S1259" s="9"/>
      <c r="T1259" s="9"/>
      <c r="U1259" s="9"/>
      <c r="V1259" s="2"/>
    </row>
    <row r="1260" spans="1:22" s="10" customFormat="1" ht="49.5" x14ac:dyDescent="0.25">
      <c r="A1260" s="1069">
        <v>1</v>
      </c>
      <c r="B1260" s="1080" t="s">
        <v>288</v>
      </c>
      <c r="C1260" s="278" t="s">
        <v>500</v>
      </c>
      <c r="D1260" s="159">
        <v>4220782.12</v>
      </c>
      <c r="E1260" s="162" t="s">
        <v>1191</v>
      </c>
      <c r="F1260" s="162" t="s">
        <v>876</v>
      </c>
      <c r="G1260" s="160">
        <v>4220782.12</v>
      </c>
      <c r="H1260" s="161">
        <v>42729</v>
      </c>
      <c r="I1260" s="161">
        <v>42726</v>
      </c>
      <c r="J1260" s="162">
        <v>4438941.7</v>
      </c>
      <c r="K1260" s="162">
        <v>4438941.7</v>
      </c>
      <c r="L1260" s="198"/>
      <c r="M1260" s="199"/>
      <c r="N1260" s="200">
        <v>1</v>
      </c>
      <c r="O1260" s="699"/>
      <c r="P1260" s="176"/>
      <c r="Q1260" s="280" t="s">
        <v>1118</v>
      </c>
      <c r="R1260" s="676"/>
      <c r="S1260" s="9"/>
      <c r="T1260" s="9"/>
      <c r="U1260" s="9"/>
      <c r="V1260" s="9"/>
    </row>
    <row r="1261" spans="1:22" s="11" customFormat="1" ht="49.5" outlineLevel="1" x14ac:dyDescent="0.25">
      <c r="A1261" s="1070"/>
      <c r="B1261" s="1064"/>
      <c r="C1261" s="356" t="s">
        <v>37</v>
      </c>
      <c r="D1261" s="357">
        <v>73179.3</v>
      </c>
      <c r="E1261" s="361" t="s">
        <v>569</v>
      </c>
      <c r="F1261" s="358" t="s">
        <v>534</v>
      </c>
      <c r="G1261" s="359">
        <f>62016.36*1.18</f>
        <v>73179.304799999998</v>
      </c>
      <c r="H1261" s="360">
        <v>42459</v>
      </c>
      <c r="I1261" s="360">
        <v>42535</v>
      </c>
      <c r="J1261" s="361">
        <v>73179.3</v>
      </c>
      <c r="K1261" s="361">
        <v>73179.3</v>
      </c>
      <c r="L1261" s="360"/>
      <c r="M1261" s="361">
        <f>J1261-D1261</f>
        <v>0</v>
      </c>
      <c r="N1261" s="362"/>
      <c r="O1261" s="466" t="s">
        <v>727</v>
      </c>
      <c r="P1261" s="176"/>
      <c r="Q1261" s="446"/>
      <c r="R1261" s="335"/>
      <c r="S1261" s="2"/>
      <c r="T1261" s="2"/>
      <c r="U1261" s="2"/>
      <c r="V1261" s="2"/>
    </row>
    <row r="1262" spans="1:22" s="11" customFormat="1" ht="17.25" outlineLevel="1" thickBot="1" x14ac:dyDescent="0.3">
      <c r="A1262" s="1006" t="s">
        <v>628</v>
      </c>
      <c r="B1262" s="1007"/>
      <c r="C1262" s="691"/>
      <c r="D1262" s="480">
        <f>SUM(D1260:D1261)</f>
        <v>4293961.42</v>
      </c>
      <c r="E1262" s="677"/>
      <c r="F1262" s="677"/>
      <c r="G1262" s="693">
        <f>SUM(G1260:G1261)</f>
        <v>4293961.4248000002</v>
      </c>
      <c r="H1262" s="309"/>
      <c r="I1262" s="321"/>
      <c r="J1262" s="480">
        <f t="shared" ref="J1262" si="106">SUM(J1260:J1261)</f>
        <v>4512121</v>
      </c>
      <c r="K1262" s="480">
        <f>SUM(K1260:K1261)</f>
        <v>4512121</v>
      </c>
      <c r="L1262" s="482"/>
      <c r="M1262" s="480"/>
      <c r="N1262" s="728">
        <f>AVERAGE(N1260:N1261)</f>
        <v>1</v>
      </c>
      <c r="O1262" s="694"/>
      <c r="P1262" s="176"/>
      <c r="Q1262" s="446"/>
      <c r="R1262" s="335"/>
      <c r="S1262" s="2"/>
      <c r="T1262" s="2"/>
      <c r="U1262" s="2"/>
      <c r="V1262" s="2"/>
    </row>
    <row r="1263" spans="1:22" s="10" customFormat="1" ht="31.5" customHeight="1" x14ac:dyDescent="0.25">
      <c r="A1263" s="1069">
        <v>2</v>
      </c>
      <c r="B1263" s="1080" t="s">
        <v>289</v>
      </c>
      <c r="C1263" s="278" t="s">
        <v>500</v>
      </c>
      <c r="D1263" s="159">
        <v>3757608.52</v>
      </c>
      <c r="E1263" s="162" t="s">
        <v>1002</v>
      </c>
      <c r="F1263" s="162" t="s">
        <v>876</v>
      </c>
      <c r="G1263" s="160">
        <v>3779760.64</v>
      </c>
      <c r="H1263" s="161">
        <v>42668</v>
      </c>
      <c r="I1263" s="161">
        <v>42668</v>
      </c>
      <c r="J1263" s="477">
        <v>3757608.52</v>
      </c>
      <c r="K1263" s="477">
        <v>3757608.52</v>
      </c>
      <c r="L1263" s="198"/>
      <c r="M1263" s="199"/>
      <c r="N1263" s="200">
        <v>1</v>
      </c>
      <c r="O1263" s="699"/>
      <c r="P1263" s="176">
        <v>2017</v>
      </c>
      <c r="Q1263" s="446"/>
      <c r="R1263" s="676"/>
      <c r="S1263" s="9"/>
      <c r="T1263" s="9"/>
      <c r="U1263" s="9"/>
      <c r="V1263" s="9"/>
    </row>
    <row r="1264" spans="1:22" s="11" customFormat="1" ht="49.5" outlineLevel="1" x14ac:dyDescent="0.25">
      <c r="A1264" s="1070"/>
      <c r="B1264" s="1064"/>
      <c r="C1264" s="356" t="s">
        <v>37</v>
      </c>
      <c r="D1264" s="357">
        <v>76957.570000000007</v>
      </c>
      <c r="E1264" s="361" t="s">
        <v>569</v>
      </c>
      <c r="F1264" s="358" t="s">
        <v>534</v>
      </c>
      <c r="G1264" s="359">
        <f>65218.28*1.18</f>
        <v>76957.570399999997</v>
      </c>
      <c r="H1264" s="360">
        <v>42459</v>
      </c>
      <c r="I1264" s="360">
        <v>42535</v>
      </c>
      <c r="J1264" s="361">
        <v>76957.570000000007</v>
      </c>
      <c r="K1264" s="361">
        <v>76957.570000000007</v>
      </c>
      <c r="L1264" s="360"/>
      <c r="M1264" s="361">
        <f>J1264-D1264</f>
        <v>0</v>
      </c>
      <c r="N1264" s="362"/>
      <c r="O1264" s="466" t="s">
        <v>727</v>
      </c>
      <c r="P1264" s="176"/>
      <c r="Q1264" s="446"/>
      <c r="R1264" s="335"/>
      <c r="S1264" s="2"/>
      <c r="T1264" s="2"/>
      <c r="U1264" s="2"/>
      <c r="V1264" s="2"/>
    </row>
    <row r="1265" spans="1:22" s="11" customFormat="1" ht="17.25" outlineLevel="1" thickBot="1" x14ac:dyDescent="0.3">
      <c r="A1265" s="1006" t="s">
        <v>628</v>
      </c>
      <c r="B1265" s="1007"/>
      <c r="C1265" s="691"/>
      <c r="D1265" s="480">
        <f>SUM(D1263:D1264)</f>
        <v>3834566.09</v>
      </c>
      <c r="E1265" s="677"/>
      <c r="F1265" s="677"/>
      <c r="G1265" s="693">
        <f>SUM(G1263:G1264)</f>
        <v>3856718.2104000002</v>
      </c>
      <c r="H1265" s="309"/>
      <c r="I1265" s="321"/>
      <c r="J1265" s="480">
        <f t="shared" ref="J1265" si="107">SUM(J1263:J1264)</f>
        <v>3834566.09</v>
      </c>
      <c r="K1265" s="480">
        <f>SUM(K1263:K1264)</f>
        <v>3834566.09</v>
      </c>
      <c r="L1265" s="482"/>
      <c r="M1265" s="480"/>
      <c r="N1265" s="728">
        <f>AVERAGE(N1263:N1264)</f>
        <v>1</v>
      </c>
      <c r="O1265" s="694"/>
      <c r="P1265" s="176"/>
      <c r="Q1265" s="446"/>
      <c r="R1265" s="335"/>
      <c r="S1265" s="2"/>
      <c r="T1265" s="2"/>
      <c r="U1265" s="2"/>
      <c r="V1265" s="2"/>
    </row>
    <row r="1266" spans="1:22" s="10" customFormat="1" ht="31.5" customHeight="1" x14ac:dyDescent="0.25">
      <c r="A1266" s="1069">
        <v>3</v>
      </c>
      <c r="B1266" s="1075" t="s">
        <v>280</v>
      </c>
      <c r="C1266" s="159" t="s">
        <v>34</v>
      </c>
      <c r="D1266" s="159">
        <v>13519770.49</v>
      </c>
      <c r="E1266" s="1050" t="s">
        <v>875</v>
      </c>
      <c r="F1266" s="984" t="s">
        <v>876</v>
      </c>
      <c r="G1266" s="160">
        <v>12299500.470000001</v>
      </c>
      <c r="H1266" s="975">
        <v>42565</v>
      </c>
      <c r="I1266" s="975">
        <v>42571</v>
      </c>
      <c r="J1266" s="162">
        <v>13519770.49</v>
      </c>
      <c r="K1266" s="162">
        <v>13519770.49</v>
      </c>
      <c r="L1266" s="161"/>
      <c r="M1266" s="162"/>
      <c r="N1266" s="200">
        <v>1</v>
      </c>
      <c r="O1266" s="729"/>
      <c r="P1266" s="176"/>
      <c r="Q1266" s="446"/>
      <c r="R1266" s="676"/>
      <c r="S1266" s="9"/>
      <c r="T1266" s="9"/>
      <c r="U1266" s="9"/>
      <c r="V1266" s="9"/>
    </row>
    <row r="1267" spans="1:22" s="11" customFormat="1" ht="16.5" outlineLevel="1" x14ac:dyDescent="0.25">
      <c r="A1267" s="1070"/>
      <c r="B1267" s="1076"/>
      <c r="C1267" s="208" t="s">
        <v>35</v>
      </c>
      <c r="D1267" s="208">
        <v>2018430.77</v>
      </c>
      <c r="E1267" s="994"/>
      <c r="F1267" s="985"/>
      <c r="G1267" s="209">
        <v>2064284.73</v>
      </c>
      <c r="H1267" s="976"/>
      <c r="I1267" s="978"/>
      <c r="J1267" s="163">
        <v>2018430.77</v>
      </c>
      <c r="K1267" s="163">
        <v>2018430.77</v>
      </c>
      <c r="L1267" s="210"/>
      <c r="M1267" s="163"/>
      <c r="N1267" s="213">
        <v>1</v>
      </c>
      <c r="O1267" s="186"/>
      <c r="P1267" s="176"/>
      <c r="Q1267" s="446"/>
      <c r="R1267" s="335"/>
      <c r="S1267" s="2"/>
      <c r="T1267" s="2"/>
      <c r="U1267" s="2"/>
      <c r="V1267" s="2"/>
    </row>
    <row r="1268" spans="1:22" s="11" customFormat="1" ht="16.5" outlineLevel="1" x14ac:dyDescent="0.25">
      <c r="A1268" s="1070"/>
      <c r="B1268" s="1076"/>
      <c r="C1268" s="208" t="s">
        <v>36</v>
      </c>
      <c r="D1268" s="208">
        <v>1853527.36</v>
      </c>
      <c r="E1268" s="995"/>
      <c r="F1268" s="986"/>
      <c r="G1268" s="209">
        <v>1853531.77</v>
      </c>
      <c r="H1268" s="977"/>
      <c r="I1268" s="979"/>
      <c r="J1268" s="163">
        <v>1853527.36</v>
      </c>
      <c r="K1268" s="163">
        <v>1853527.36</v>
      </c>
      <c r="L1268" s="210"/>
      <c r="M1268" s="163"/>
      <c r="N1268" s="213">
        <v>1</v>
      </c>
      <c r="O1268" s="186"/>
      <c r="P1268" s="176"/>
      <c r="Q1268" s="446"/>
      <c r="R1268" s="335"/>
      <c r="S1268" s="2"/>
      <c r="T1268" s="2"/>
      <c r="U1268" s="2"/>
      <c r="V1268" s="2"/>
    </row>
    <row r="1269" spans="1:22" s="11" customFormat="1" ht="49.5" outlineLevel="1" x14ac:dyDescent="0.25">
      <c r="A1269" s="1070"/>
      <c r="B1269" s="1076"/>
      <c r="C1269" s="294" t="s">
        <v>37</v>
      </c>
      <c r="D1269" s="180">
        <f>264278.71*1.18</f>
        <v>311848.87780000002</v>
      </c>
      <c r="E1269" s="730" t="s">
        <v>570</v>
      </c>
      <c r="F1269" s="181" t="s">
        <v>534</v>
      </c>
      <c r="G1269" s="731">
        <f>410961.86-G1271</f>
        <v>311848.88099999999</v>
      </c>
      <c r="H1269" s="732">
        <v>42388</v>
      </c>
      <c r="I1269" s="183">
        <v>42408</v>
      </c>
      <c r="J1269" s="184">
        <v>311848.88</v>
      </c>
      <c r="K1269" s="184">
        <v>311848.88</v>
      </c>
      <c r="L1269" s="183"/>
      <c r="M1269" s="184">
        <f>J1269-D1269</f>
        <v>2.199999988079071E-3</v>
      </c>
      <c r="N1269" s="202"/>
      <c r="O1269" s="186"/>
      <c r="P1269" s="176"/>
      <c r="Q1269" s="446"/>
      <c r="R1269" s="335"/>
      <c r="S1269" s="2"/>
      <c r="T1269" s="2"/>
      <c r="U1269" s="2"/>
      <c r="V1269" s="2"/>
    </row>
    <row r="1270" spans="1:22" s="11" customFormat="1" ht="33" outlineLevel="1" x14ac:dyDescent="0.25">
      <c r="A1270" s="1070"/>
      <c r="B1270" s="1076"/>
      <c r="C1270" s="208" t="s">
        <v>500</v>
      </c>
      <c r="D1270" s="208">
        <v>13055296.98</v>
      </c>
      <c r="E1270" s="163" t="s">
        <v>1191</v>
      </c>
      <c r="F1270" s="275" t="s">
        <v>876</v>
      </c>
      <c r="G1270" s="208">
        <v>13055296.98</v>
      </c>
      <c r="H1270" s="210">
        <v>42729</v>
      </c>
      <c r="I1270" s="210">
        <v>42726</v>
      </c>
      <c r="J1270" s="163">
        <v>12799311.32</v>
      </c>
      <c r="K1270" s="163">
        <v>12799311.32</v>
      </c>
      <c r="L1270" s="210"/>
      <c r="M1270" s="163"/>
      <c r="N1270" s="174">
        <v>0.5</v>
      </c>
      <c r="O1270" s="733"/>
      <c r="P1270" s="176"/>
      <c r="Q1270" s="446"/>
      <c r="R1270" s="335"/>
      <c r="S1270" s="2"/>
      <c r="T1270" s="2"/>
      <c r="U1270" s="2"/>
      <c r="V1270" s="2"/>
    </row>
    <row r="1271" spans="1:22" s="11" customFormat="1" ht="49.5" outlineLevel="1" x14ac:dyDescent="0.25">
      <c r="A1271" s="1070"/>
      <c r="B1271" s="1076"/>
      <c r="C1271" s="356" t="s">
        <v>37</v>
      </c>
      <c r="D1271" s="357">
        <f>83994.05*1.18</f>
        <v>99112.978999999992</v>
      </c>
      <c r="E1271" s="361" t="s">
        <v>569</v>
      </c>
      <c r="F1271" s="358" t="s">
        <v>534</v>
      </c>
      <c r="G1271" s="359">
        <f>83994.05*1.18</f>
        <v>99112.978999999992</v>
      </c>
      <c r="H1271" s="360">
        <v>42459</v>
      </c>
      <c r="I1271" s="360">
        <v>42535</v>
      </c>
      <c r="J1271" s="361">
        <v>99112.98</v>
      </c>
      <c r="K1271" s="361">
        <v>99112.98</v>
      </c>
      <c r="L1271" s="360"/>
      <c r="M1271" s="361">
        <f>J1271-D1271</f>
        <v>1.0000000038417056E-3</v>
      </c>
      <c r="N1271" s="362"/>
      <c r="O1271" s="466" t="s">
        <v>727</v>
      </c>
      <c r="P1271" s="176"/>
      <c r="Q1271" s="446"/>
      <c r="R1271" s="335"/>
      <c r="S1271" s="2"/>
      <c r="T1271" s="2"/>
      <c r="U1271" s="2"/>
      <c r="V1271" s="2"/>
    </row>
    <row r="1272" spans="1:22" s="11" customFormat="1" ht="17.25" outlineLevel="1" thickBot="1" x14ac:dyDescent="0.3">
      <c r="A1272" s="1010" t="s">
        <v>628</v>
      </c>
      <c r="B1272" s="1011"/>
      <c r="C1272" s="585"/>
      <c r="D1272" s="577">
        <f>SUM(D1266:D1271)</f>
        <v>30857987.456799999</v>
      </c>
      <c r="E1272" s="310"/>
      <c r="F1272" s="310"/>
      <c r="G1272" s="706">
        <f>SUM(G1266:G1271)</f>
        <v>29683575.809999999</v>
      </c>
      <c r="H1272" s="308"/>
      <c r="I1272" s="277"/>
      <c r="J1272" s="577">
        <f>SUM(J1266:J1271)</f>
        <v>30602001.800000001</v>
      </c>
      <c r="K1272" s="577">
        <f>SUM(K1266:K1271)</f>
        <v>30602001.800000001</v>
      </c>
      <c r="L1272" s="579"/>
      <c r="M1272" s="577"/>
      <c r="N1272" s="606">
        <f>AVERAGE(N1266:N1271)</f>
        <v>0.875</v>
      </c>
      <c r="O1272" s="734"/>
      <c r="P1272" s="176"/>
      <c r="Q1272" s="446"/>
      <c r="R1272" s="335"/>
      <c r="S1272" s="2"/>
      <c r="T1272" s="2"/>
      <c r="U1272" s="2"/>
      <c r="V1272" s="2"/>
    </row>
    <row r="1273" spans="1:22" s="10" customFormat="1" ht="49.5" x14ac:dyDescent="0.25">
      <c r="A1273" s="1069">
        <v>4</v>
      </c>
      <c r="B1273" s="1080" t="s">
        <v>566</v>
      </c>
      <c r="C1273" s="278" t="s">
        <v>38</v>
      </c>
      <c r="D1273" s="159">
        <v>1090229.1399999999</v>
      </c>
      <c r="E1273" s="162" t="s">
        <v>1002</v>
      </c>
      <c r="F1273" s="487" t="s">
        <v>876</v>
      </c>
      <c r="G1273" s="160">
        <v>1230893.3999999999</v>
      </c>
      <c r="H1273" s="161">
        <v>42625</v>
      </c>
      <c r="I1273" s="161">
        <v>42668</v>
      </c>
      <c r="J1273" s="162">
        <v>1090229.1399999999</v>
      </c>
      <c r="K1273" s="162">
        <v>1090229.1399999999</v>
      </c>
      <c r="L1273" s="198"/>
      <c r="M1273" s="199"/>
      <c r="N1273" s="200">
        <v>1</v>
      </c>
      <c r="O1273" s="699"/>
      <c r="P1273" s="176"/>
      <c r="Q1273" s="280" t="s">
        <v>1118</v>
      </c>
      <c r="R1273" s="676"/>
      <c r="S1273" s="9"/>
      <c r="T1273" s="9"/>
      <c r="U1273" s="9"/>
      <c r="V1273" s="9"/>
    </row>
    <row r="1274" spans="1:22" s="11" customFormat="1" ht="49.5" outlineLevel="1" x14ac:dyDescent="0.25">
      <c r="A1274" s="1070"/>
      <c r="B1274" s="1064"/>
      <c r="C1274" s="281" t="s">
        <v>500</v>
      </c>
      <c r="D1274" s="208">
        <v>6185280.3399999999</v>
      </c>
      <c r="E1274" s="275" t="s">
        <v>1002</v>
      </c>
      <c r="F1274" s="163" t="s">
        <v>876</v>
      </c>
      <c r="G1274" s="209">
        <v>6311424.7000000002</v>
      </c>
      <c r="H1274" s="210">
        <v>42625</v>
      </c>
      <c r="I1274" s="210">
        <v>42668</v>
      </c>
      <c r="J1274" s="163">
        <v>6185280.3399999999</v>
      </c>
      <c r="K1274" s="163">
        <v>6185280.3399999999</v>
      </c>
      <c r="L1274" s="210"/>
      <c r="M1274" s="163"/>
      <c r="N1274" s="213">
        <v>1</v>
      </c>
      <c r="O1274" s="704"/>
      <c r="P1274" s="176"/>
      <c r="Q1274" s="280" t="s">
        <v>1118</v>
      </c>
      <c r="R1274" s="335"/>
      <c r="S1274" s="2"/>
      <c r="T1274" s="2"/>
      <c r="U1274" s="2"/>
      <c r="V1274" s="2"/>
    </row>
    <row r="1275" spans="1:22" s="11" customFormat="1" ht="49.5" outlineLevel="1" x14ac:dyDescent="0.25">
      <c r="A1275" s="1070"/>
      <c r="B1275" s="1064"/>
      <c r="C1275" s="356" t="s">
        <v>37</v>
      </c>
      <c r="D1275" s="357">
        <v>91241.23</v>
      </c>
      <c r="E1275" s="361" t="s">
        <v>569</v>
      </c>
      <c r="F1275" s="358" t="s">
        <v>534</v>
      </c>
      <c r="G1275" s="359">
        <f>77323.08*1.18</f>
        <v>91241.234400000001</v>
      </c>
      <c r="H1275" s="360">
        <v>42459</v>
      </c>
      <c r="I1275" s="360">
        <v>42535</v>
      </c>
      <c r="J1275" s="361">
        <v>91241.23</v>
      </c>
      <c r="K1275" s="361">
        <v>91241.23</v>
      </c>
      <c r="L1275" s="360"/>
      <c r="M1275" s="361">
        <f>J1275-D1275</f>
        <v>0</v>
      </c>
      <c r="N1275" s="362"/>
      <c r="O1275" s="466" t="s">
        <v>907</v>
      </c>
      <c r="P1275" s="176"/>
      <c r="Q1275" s="446"/>
      <c r="R1275" s="335"/>
      <c r="S1275" s="2"/>
      <c r="T1275" s="2"/>
      <c r="U1275" s="2"/>
      <c r="V1275" s="2"/>
    </row>
    <row r="1276" spans="1:22" s="11" customFormat="1" ht="17.25" outlineLevel="1" thickBot="1" x14ac:dyDescent="0.3">
      <c r="A1276" s="1006" t="s">
        <v>628</v>
      </c>
      <c r="B1276" s="1007"/>
      <c r="C1276" s="691"/>
      <c r="D1276" s="480">
        <f>SUM(D1273:D1275)</f>
        <v>7366750.71</v>
      </c>
      <c r="E1276" s="677"/>
      <c r="F1276" s="677"/>
      <c r="G1276" s="693">
        <f>SUM(G1273:G1275)</f>
        <v>7633559.3344000001</v>
      </c>
      <c r="H1276" s="309"/>
      <c r="I1276" s="321"/>
      <c r="J1276" s="480">
        <f t="shared" ref="J1276" si="108">SUM(J1273:J1275)</f>
        <v>7366750.71</v>
      </c>
      <c r="K1276" s="480">
        <f>SUM(K1273:K1275)</f>
        <v>7366750.71</v>
      </c>
      <c r="L1276" s="482"/>
      <c r="M1276" s="480"/>
      <c r="N1276" s="728">
        <f>AVERAGE(N1273:N1275)</f>
        <v>1</v>
      </c>
      <c r="O1276" s="694"/>
      <c r="P1276" s="176"/>
      <c r="Q1276" s="446"/>
      <c r="R1276" s="335"/>
      <c r="S1276" s="2"/>
      <c r="T1276" s="2"/>
      <c r="U1276" s="2"/>
      <c r="V1276" s="2"/>
    </row>
    <row r="1277" spans="1:22" s="10" customFormat="1" ht="33" x14ac:dyDescent="0.25">
      <c r="A1277" s="1069">
        <v>5</v>
      </c>
      <c r="B1277" s="1080" t="s">
        <v>291</v>
      </c>
      <c r="C1277" s="278" t="s">
        <v>500</v>
      </c>
      <c r="D1277" s="159">
        <v>1914980.7</v>
      </c>
      <c r="E1277" s="162" t="s">
        <v>1147</v>
      </c>
      <c r="F1277" s="162" t="s">
        <v>1148</v>
      </c>
      <c r="G1277" s="160">
        <v>1914980.7</v>
      </c>
      <c r="H1277" s="161">
        <v>42729</v>
      </c>
      <c r="I1277" s="161">
        <v>42726</v>
      </c>
      <c r="J1277" s="162">
        <v>1984762.36</v>
      </c>
      <c r="K1277" s="162">
        <v>1984762.36</v>
      </c>
      <c r="L1277" s="198"/>
      <c r="M1277" s="199"/>
      <c r="N1277" s="164">
        <v>0.5</v>
      </c>
      <c r="O1277" s="699"/>
      <c r="P1277" s="176">
        <v>2017</v>
      </c>
      <c r="Q1277" s="446"/>
      <c r="R1277" s="676"/>
      <c r="S1277" s="9"/>
      <c r="T1277" s="9"/>
      <c r="U1277" s="9"/>
      <c r="V1277" s="9"/>
    </row>
    <row r="1278" spans="1:22" s="11" customFormat="1" ht="49.5" outlineLevel="1" x14ac:dyDescent="0.25">
      <c r="A1278" s="1070"/>
      <c r="B1278" s="1064"/>
      <c r="C1278" s="356" t="s">
        <v>37</v>
      </c>
      <c r="D1278" s="357">
        <v>67846.87</v>
      </c>
      <c r="E1278" s="361" t="s">
        <v>569</v>
      </c>
      <c r="F1278" s="358" t="s">
        <v>534</v>
      </c>
      <c r="G1278" s="359">
        <f>57497.35*1.18</f>
        <v>67846.872999999992</v>
      </c>
      <c r="H1278" s="360">
        <v>42459</v>
      </c>
      <c r="I1278" s="360">
        <v>42535</v>
      </c>
      <c r="J1278" s="361">
        <v>67846.87</v>
      </c>
      <c r="K1278" s="361">
        <v>67846.87</v>
      </c>
      <c r="L1278" s="360"/>
      <c r="M1278" s="361">
        <f>J1278-D1278</f>
        <v>0</v>
      </c>
      <c r="N1278" s="362"/>
      <c r="O1278" s="466" t="s">
        <v>727</v>
      </c>
      <c r="P1278" s="176"/>
      <c r="Q1278" s="446"/>
      <c r="R1278" s="335"/>
      <c r="S1278" s="2"/>
      <c r="T1278" s="2"/>
      <c r="U1278" s="2"/>
      <c r="V1278" s="2"/>
    </row>
    <row r="1279" spans="1:22" s="11" customFormat="1" ht="17.25" outlineLevel="1" thickBot="1" x14ac:dyDescent="0.3">
      <c r="A1279" s="1006" t="s">
        <v>628</v>
      </c>
      <c r="B1279" s="1007"/>
      <c r="C1279" s="691"/>
      <c r="D1279" s="480">
        <f>SUM(D1277:D1278)</f>
        <v>1982827.5699999998</v>
      </c>
      <c r="E1279" s="677"/>
      <c r="F1279" s="677"/>
      <c r="G1279" s="693">
        <f>SUM(G1277:G1278)</f>
        <v>1982827.5729999999</v>
      </c>
      <c r="H1279" s="309"/>
      <c r="I1279" s="321"/>
      <c r="J1279" s="480">
        <f t="shared" ref="J1279" si="109">SUM(J1277:J1278)</f>
        <v>2052609.23</v>
      </c>
      <c r="K1279" s="480">
        <f>SUM(K1277:K1278)</f>
        <v>2052609.23</v>
      </c>
      <c r="L1279" s="482"/>
      <c r="M1279" s="480"/>
      <c r="N1279" s="728">
        <f>AVERAGE(N1277:N1278)</f>
        <v>0.5</v>
      </c>
      <c r="O1279" s="694"/>
      <c r="P1279" s="176"/>
      <c r="Q1279" s="446"/>
      <c r="R1279" s="335"/>
      <c r="S1279" s="2"/>
      <c r="T1279" s="2"/>
      <c r="U1279" s="2"/>
      <c r="V1279" s="2"/>
    </row>
    <row r="1280" spans="1:22" s="10" customFormat="1" ht="49.5" x14ac:dyDescent="0.25">
      <c r="A1280" s="1069">
        <v>6</v>
      </c>
      <c r="B1280" s="1080" t="s">
        <v>290</v>
      </c>
      <c r="C1280" s="278" t="s">
        <v>500</v>
      </c>
      <c r="D1280" s="159">
        <v>7422941.04</v>
      </c>
      <c r="E1280" s="162" t="s">
        <v>1002</v>
      </c>
      <c r="F1280" s="162" t="s">
        <v>876</v>
      </c>
      <c r="G1280" s="160">
        <v>7546890.5999999996</v>
      </c>
      <c r="H1280" s="161">
        <v>42625</v>
      </c>
      <c r="I1280" s="161">
        <v>42668</v>
      </c>
      <c r="J1280" s="162">
        <v>7422941.04</v>
      </c>
      <c r="K1280" s="162">
        <v>7422941.04</v>
      </c>
      <c r="L1280" s="198"/>
      <c r="M1280" s="199"/>
      <c r="N1280" s="200">
        <v>1</v>
      </c>
      <c r="O1280" s="699"/>
      <c r="P1280" s="176"/>
      <c r="Q1280" s="280" t="s">
        <v>1118</v>
      </c>
      <c r="R1280" s="676"/>
      <c r="S1280" s="9"/>
      <c r="T1280" s="9"/>
      <c r="U1280" s="9"/>
      <c r="V1280" s="9"/>
    </row>
    <row r="1281" spans="1:22" s="11" customFormat="1" ht="49.5" outlineLevel="1" x14ac:dyDescent="0.25">
      <c r="A1281" s="1070"/>
      <c r="B1281" s="1064"/>
      <c r="C1281" s="356" t="s">
        <v>37</v>
      </c>
      <c r="D1281" s="357">
        <v>97436.28</v>
      </c>
      <c r="E1281" s="361" t="s">
        <v>569</v>
      </c>
      <c r="F1281" s="358" t="s">
        <v>534</v>
      </c>
      <c r="G1281" s="359">
        <f>82573.12*1.18</f>
        <v>97436.281599999988</v>
      </c>
      <c r="H1281" s="360">
        <v>42459</v>
      </c>
      <c r="I1281" s="360">
        <v>42535</v>
      </c>
      <c r="J1281" s="361">
        <v>97436.28</v>
      </c>
      <c r="K1281" s="361">
        <v>97436.28</v>
      </c>
      <c r="L1281" s="360"/>
      <c r="M1281" s="361">
        <f>J1281-D1281</f>
        <v>0</v>
      </c>
      <c r="N1281" s="362"/>
      <c r="O1281" s="466" t="s">
        <v>727</v>
      </c>
      <c r="P1281" s="176"/>
      <c r="Q1281" s="446"/>
      <c r="R1281" s="335"/>
      <c r="S1281" s="2"/>
      <c r="T1281" s="2"/>
      <c r="U1281" s="2"/>
      <c r="V1281" s="2"/>
    </row>
    <row r="1282" spans="1:22" s="11" customFormat="1" ht="17.25" outlineLevel="1" thickBot="1" x14ac:dyDescent="0.3">
      <c r="A1282" s="1006" t="s">
        <v>628</v>
      </c>
      <c r="B1282" s="1007"/>
      <c r="C1282" s="691"/>
      <c r="D1282" s="480">
        <f>SUM(D1280:D1281)</f>
        <v>7520377.3200000003</v>
      </c>
      <c r="E1282" s="677"/>
      <c r="F1282" s="677"/>
      <c r="G1282" s="693">
        <f>SUM(G1280:G1281)</f>
        <v>7644326.8816</v>
      </c>
      <c r="H1282" s="309"/>
      <c r="I1282" s="321"/>
      <c r="J1282" s="480">
        <f t="shared" ref="J1282" si="110">SUM(J1280:J1281)</f>
        <v>7520377.3200000003</v>
      </c>
      <c r="K1282" s="480">
        <f>SUM(K1280:K1281)</f>
        <v>7520377.3200000003</v>
      </c>
      <c r="L1282" s="482"/>
      <c r="M1282" s="480"/>
      <c r="N1282" s="728">
        <f>AVERAGE(N1280:N1281)</f>
        <v>1</v>
      </c>
      <c r="O1282" s="694"/>
      <c r="P1282" s="176"/>
      <c r="Q1282" s="446"/>
      <c r="R1282" s="335"/>
      <c r="S1282" s="2"/>
      <c r="T1282" s="2"/>
      <c r="U1282" s="2"/>
      <c r="V1282" s="2"/>
    </row>
    <row r="1283" spans="1:22" s="10" customFormat="1" ht="33" x14ac:dyDescent="0.25">
      <c r="A1283" s="1069">
        <v>7</v>
      </c>
      <c r="B1283" s="1080" t="s">
        <v>292</v>
      </c>
      <c r="C1283" s="278" t="s">
        <v>500</v>
      </c>
      <c r="D1283" s="159">
        <v>3769992.62</v>
      </c>
      <c r="E1283" s="163" t="s">
        <v>1191</v>
      </c>
      <c r="F1283" s="275" t="s">
        <v>876</v>
      </c>
      <c r="G1283" s="208">
        <v>3769992.62</v>
      </c>
      <c r="H1283" s="210">
        <v>42729</v>
      </c>
      <c r="I1283" s="161">
        <v>42726</v>
      </c>
      <c r="J1283" s="162">
        <v>3910368.96</v>
      </c>
      <c r="K1283" s="162">
        <v>3910368.96</v>
      </c>
      <c r="L1283" s="198"/>
      <c r="M1283" s="199"/>
      <c r="N1283" s="164">
        <v>0.5</v>
      </c>
      <c r="O1283" s="699"/>
      <c r="P1283" s="176">
        <v>2017</v>
      </c>
      <c r="Q1283" s="446"/>
      <c r="R1283" s="676"/>
      <c r="S1283" s="9"/>
      <c r="T1283" s="9"/>
      <c r="U1283" s="9"/>
      <c r="V1283" s="9"/>
    </row>
    <row r="1284" spans="1:22" s="11" customFormat="1" ht="49.5" outlineLevel="1" x14ac:dyDescent="0.25">
      <c r="A1284" s="1070"/>
      <c r="B1284" s="1064"/>
      <c r="C1284" s="356" t="s">
        <v>37</v>
      </c>
      <c r="D1284" s="357">
        <v>79409.88</v>
      </c>
      <c r="E1284" s="361" t="s">
        <v>569</v>
      </c>
      <c r="F1284" s="358" t="s">
        <v>534</v>
      </c>
      <c r="G1284" s="359">
        <f>67296.51*1.18</f>
        <v>79409.881799999988</v>
      </c>
      <c r="H1284" s="360">
        <v>42459</v>
      </c>
      <c r="I1284" s="360">
        <v>42535</v>
      </c>
      <c r="J1284" s="361">
        <v>79409.88</v>
      </c>
      <c r="K1284" s="361">
        <v>79409.88</v>
      </c>
      <c r="L1284" s="360"/>
      <c r="M1284" s="361">
        <f>J1284-D1284</f>
        <v>0</v>
      </c>
      <c r="N1284" s="362"/>
      <c r="O1284" s="466" t="s">
        <v>727</v>
      </c>
      <c r="P1284" s="176"/>
      <c r="Q1284" s="446"/>
      <c r="R1284" s="335"/>
      <c r="S1284" s="2"/>
      <c r="T1284" s="2"/>
      <c r="U1284" s="2"/>
      <c r="V1284" s="2"/>
    </row>
    <row r="1285" spans="1:22" s="11" customFormat="1" ht="17.25" outlineLevel="1" thickBot="1" x14ac:dyDescent="0.3">
      <c r="A1285" s="1006" t="s">
        <v>628</v>
      </c>
      <c r="B1285" s="1007"/>
      <c r="C1285" s="691"/>
      <c r="D1285" s="480">
        <f>SUM(D1283:D1284)</f>
        <v>3849402.5</v>
      </c>
      <c r="E1285" s="677"/>
      <c r="F1285" s="677"/>
      <c r="G1285" s="693">
        <f>SUM(G1283:G1284)</f>
        <v>3849402.5018000002</v>
      </c>
      <c r="H1285" s="309"/>
      <c r="I1285" s="321"/>
      <c r="J1285" s="480">
        <f t="shared" ref="J1285" si="111">SUM(J1283:J1284)</f>
        <v>3989778.84</v>
      </c>
      <c r="K1285" s="480">
        <f>SUM(K1283:K1284)</f>
        <v>3989778.84</v>
      </c>
      <c r="L1285" s="482"/>
      <c r="M1285" s="480"/>
      <c r="N1285" s="728">
        <f>AVERAGE(N1283:N1284)</f>
        <v>0.5</v>
      </c>
      <c r="O1285" s="694"/>
      <c r="P1285" s="176"/>
      <c r="Q1285" s="446"/>
      <c r="R1285" s="335"/>
      <c r="S1285" s="2"/>
      <c r="T1285" s="2"/>
      <c r="U1285" s="2"/>
      <c r="V1285" s="2"/>
    </row>
    <row r="1286" spans="1:22" s="10" customFormat="1" ht="35.25" customHeight="1" x14ac:dyDescent="0.25">
      <c r="A1286" s="1069">
        <v>8</v>
      </c>
      <c r="B1286" s="1075" t="s">
        <v>281</v>
      </c>
      <c r="C1286" s="278" t="s">
        <v>500</v>
      </c>
      <c r="D1286" s="159">
        <v>8324342.75</v>
      </c>
      <c r="E1286" s="162" t="s">
        <v>875</v>
      </c>
      <c r="F1286" s="162" t="s">
        <v>876</v>
      </c>
      <c r="G1286" s="160">
        <v>7914218.4100000001</v>
      </c>
      <c r="H1286" s="161">
        <v>42565</v>
      </c>
      <c r="I1286" s="161">
        <v>42571</v>
      </c>
      <c r="J1286" s="162">
        <v>8324342.75</v>
      </c>
      <c r="K1286" s="162">
        <v>8324342.75</v>
      </c>
      <c r="L1286" s="198"/>
      <c r="M1286" s="199"/>
      <c r="N1286" s="200">
        <v>1</v>
      </c>
      <c r="O1286" s="735"/>
      <c r="P1286" s="176"/>
      <c r="Q1286" s="446"/>
      <c r="R1286" s="676"/>
      <c r="S1286" s="9"/>
      <c r="T1286" s="9"/>
      <c r="U1286" s="9"/>
      <c r="V1286" s="9"/>
    </row>
    <row r="1287" spans="1:22" s="11" customFormat="1" ht="49.5" outlineLevel="1" x14ac:dyDescent="0.25">
      <c r="A1287" s="1070"/>
      <c r="B1287" s="1076"/>
      <c r="C1287" s="294" t="s">
        <v>37</v>
      </c>
      <c r="D1287" s="180">
        <v>105328.52</v>
      </c>
      <c r="E1287" s="184" t="s">
        <v>570</v>
      </c>
      <c r="F1287" s="181" t="s">
        <v>534</v>
      </c>
      <c r="G1287" s="182">
        <f>89261.46*1.18</f>
        <v>105328.52280000001</v>
      </c>
      <c r="H1287" s="183">
        <v>42388</v>
      </c>
      <c r="I1287" s="183">
        <v>42408</v>
      </c>
      <c r="J1287" s="184">
        <v>105328.52000000002</v>
      </c>
      <c r="K1287" s="184">
        <v>105328.52000000002</v>
      </c>
      <c r="L1287" s="183"/>
      <c r="M1287" s="184">
        <f>J1287-D1287</f>
        <v>0</v>
      </c>
      <c r="N1287" s="202"/>
      <c r="O1287" s="283" t="s">
        <v>727</v>
      </c>
      <c r="P1287" s="176"/>
      <c r="Q1287" s="446"/>
      <c r="R1287" s="335"/>
      <c r="S1287" s="2"/>
      <c r="T1287" s="2"/>
      <c r="U1287" s="2"/>
      <c r="V1287" s="2"/>
    </row>
    <row r="1288" spans="1:22" s="11" customFormat="1" ht="17.25" outlineLevel="1" thickBot="1" x14ac:dyDescent="0.3">
      <c r="A1288" s="1010" t="s">
        <v>628</v>
      </c>
      <c r="B1288" s="1011"/>
      <c r="C1288" s="607"/>
      <c r="D1288" s="480">
        <f>SUM(D1286:D1287)</f>
        <v>8429671.2699999996</v>
      </c>
      <c r="E1288" s="310"/>
      <c r="F1288" s="310"/>
      <c r="G1288" s="693">
        <f>SUM(G1286:G1287)</f>
        <v>8019546.9328000005</v>
      </c>
      <c r="H1288" s="308"/>
      <c r="I1288" s="277"/>
      <c r="J1288" s="480">
        <f>SUM(J1286:J1287)</f>
        <v>8429671.2699999996</v>
      </c>
      <c r="K1288" s="480">
        <f>SUM(K1286:K1287)</f>
        <v>8429671.2699999996</v>
      </c>
      <c r="L1288" s="579"/>
      <c r="M1288" s="577"/>
      <c r="N1288" s="728">
        <f>AVERAGE(N1286:N1287)</f>
        <v>1</v>
      </c>
      <c r="O1288" s="707"/>
      <c r="P1288" s="176"/>
      <c r="Q1288" s="446"/>
      <c r="R1288" s="335"/>
      <c r="S1288" s="2"/>
      <c r="T1288" s="2"/>
      <c r="U1288" s="2"/>
      <c r="V1288" s="2"/>
    </row>
    <row r="1289" spans="1:22" s="10" customFormat="1" ht="16.5" outlineLevel="1" x14ac:dyDescent="0.25">
      <c r="A1289" s="1069">
        <v>9</v>
      </c>
      <c r="B1289" s="1075" t="s">
        <v>282</v>
      </c>
      <c r="C1289" s="696" t="s">
        <v>34</v>
      </c>
      <c r="D1289" s="696">
        <v>25338742.100000001</v>
      </c>
      <c r="E1289" s="1045" t="s">
        <v>1281</v>
      </c>
      <c r="F1289" s="1045" t="s">
        <v>770</v>
      </c>
      <c r="G1289" s="698">
        <v>25298499.280000001</v>
      </c>
      <c r="H1289" s="223">
        <v>42786</v>
      </c>
      <c r="I1289" s="224"/>
      <c r="J1289" s="225"/>
      <c r="K1289" s="225"/>
      <c r="L1289" s="226"/>
      <c r="M1289" s="225"/>
      <c r="N1289" s="164">
        <v>0.15</v>
      </c>
      <c r="O1289" s="736"/>
      <c r="P1289" s="176">
        <v>2017</v>
      </c>
      <c r="Q1289" s="446"/>
      <c r="R1289" s="676"/>
      <c r="S1289" s="9"/>
      <c r="T1289" s="9"/>
      <c r="U1289" s="9"/>
      <c r="V1289" s="9"/>
    </row>
    <row r="1290" spans="1:22" s="11" customFormat="1" ht="16.5" outlineLevel="1" x14ac:dyDescent="0.25">
      <c r="A1290" s="1070"/>
      <c r="B1290" s="1076"/>
      <c r="C1290" s="339" t="s">
        <v>35</v>
      </c>
      <c r="D1290" s="339">
        <v>3883974.72</v>
      </c>
      <c r="E1290" s="1046"/>
      <c r="F1290" s="1046"/>
      <c r="G1290" s="703">
        <v>3883863.28</v>
      </c>
      <c r="H1290" s="737">
        <v>42786</v>
      </c>
      <c r="I1290" s="172"/>
      <c r="J1290" s="173"/>
      <c r="K1290" s="173"/>
      <c r="L1290" s="171"/>
      <c r="M1290" s="173"/>
      <c r="N1290" s="174">
        <v>0.15</v>
      </c>
      <c r="O1290" s="733"/>
      <c r="P1290" s="176">
        <v>2017</v>
      </c>
      <c r="Q1290" s="446"/>
      <c r="R1290" s="335"/>
      <c r="S1290" s="2"/>
      <c r="T1290" s="2"/>
      <c r="U1290" s="2"/>
      <c r="V1290" s="2"/>
    </row>
    <row r="1291" spans="1:22" s="11" customFormat="1" ht="16.5" outlineLevel="1" x14ac:dyDescent="0.25">
      <c r="A1291" s="1070"/>
      <c r="B1291" s="1076"/>
      <c r="C1291" s="339" t="s">
        <v>36</v>
      </c>
      <c r="D1291" s="339">
        <v>2227255.9</v>
      </c>
      <c r="E1291" s="1047"/>
      <c r="F1291" s="1047"/>
      <c r="G1291" s="703">
        <v>2227191.9900000002</v>
      </c>
      <c r="H1291" s="171">
        <v>42786</v>
      </c>
      <c r="I1291" s="172"/>
      <c r="J1291" s="173"/>
      <c r="K1291" s="173"/>
      <c r="L1291" s="171"/>
      <c r="M1291" s="173"/>
      <c r="N1291" s="174">
        <v>0.15</v>
      </c>
      <c r="O1291" s="733"/>
      <c r="P1291" s="176">
        <v>2017</v>
      </c>
      <c r="Q1291" s="446"/>
      <c r="R1291" s="335"/>
      <c r="S1291" s="2"/>
      <c r="T1291" s="2"/>
      <c r="U1291" s="2"/>
      <c r="V1291" s="2"/>
    </row>
    <row r="1292" spans="1:22" s="11" customFormat="1" ht="49.5" outlineLevel="1" x14ac:dyDescent="0.25">
      <c r="A1292" s="1070"/>
      <c r="B1292" s="1076"/>
      <c r="C1292" s="294" t="s">
        <v>37</v>
      </c>
      <c r="D1292" s="180">
        <v>367537.89</v>
      </c>
      <c r="E1292" s="184" t="s">
        <v>570</v>
      </c>
      <c r="F1292" s="181" t="s">
        <v>534</v>
      </c>
      <c r="G1292" s="182">
        <f>311472.79*1.18</f>
        <v>367537.89219999994</v>
      </c>
      <c r="H1292" s="183">
        <v>42388</v>
      </c>
      <c r="I1292" s="183">
        <v>42408</v>
      </c>
      <c r="J1292" s="184">
        <v>367537.89</v>
      </c>
      <c r="K1292" s="184">
        <v>367537.89</v>
      </c>
      <c r="L1292" s="183"/>
      <c r="M1292" s="184">
        <f>J1292-D1292</f>
        <v>0</v>
      </c>
      <c r="N1292" s="202"/>
      <c r="O1292" s="283" t="s">
        <v>727</v>
      </c>
      <c r="P1292" s="176"/>
      <c r="Q1292" s="446"/>
      <c r="R1292" s="335"/>
      <c r="S1292" s="2"/>
      <c r="T1292" s="2"/>
      <c r="U1292" s="2"/>
      <c r="V1292" s="2"/>
    </row>
    <row r="1293" spans="1:22" s="11" customFormat="1" ht="17.25" outlineLevel="1" thickBot="1" x14ac:dyDescent="0.3">
      <c r="A1293" s="1006" t="s">
        <v>628</v>
      </c>
      <c r="B1293" s="1007"/>
      <c r="C1293" s="481"/>
      <c r="D1293" s="480">
        <f>SUM(D1289:D1292)</f>
        <v>31817510.609999999</v>
      </c>
      <c r="E1293" s="677"/>
      <c r="F1293" s="677"/>
      <c r="G1293" s="693">
        <f>SUM(G1289:G1292)</f>
        <v>31777092.442200005</v>
      </c>
      <c r="H1293" s="309"/>
      <c r="I1293" s="321"/>
      <c r="J1293" s="480">
        <f>SUM(J1289:J1292)</f>
        <v>367537.89</v>
      </c>
      <c r="K1293" s="480">
        <f>SUM(K1289:K1292)</f>
        <v>367537.89</v>
      </c>
      <c r="L1293" s="482"/>
      <c r="M1293" s="480"/>
      <c r="N1293" s="728">
        <f>AVERAGE(N1289:N1292)</f>
        <v>0.15</v>
      </c>
      <c r="O1293" s="713"/>
      <c r="P1293" s="176"/>
      <c r="Q1293" s="446"/>
      <c r="R1293" s="335"/>
      <c r="S1293" s="2"/>
      <c r="T1293" s="2"/>
      <c r="U1293" s="2"/>
      <c r="V1293" s="2"/>
    </row>
    <row r="1294" spans="1:22" s="10" customFormat="1" ht="33" customHeight="1" outlineLevel="1" x14ac:dyDescent="0.25">
      <c r="A1294" s="1069">
        <v>10</v>
      </c>
      <c r="B1294" s="1075" t="s">
        <v>283</v>
      </c>
      <c r="C1294" s="278" t="s">
        <v>500</v>
      </c>
      <c r="D1294" s="159">
        <v>7148227.2199999997</v>
      </c>
      <c r="E1294" s="162" t="s">
        <v>875</v>
      </c>
      <c r="F1294" s="162" t="s">
        <v>876</v>
      </c>
      <c r="G1294" s="160">
        <v>7070245.4900000002</v>
      </c>
      <c r="H1294" s="161">
        <v>42565</v>
      </c>
      <c r="I1294" s="161">
        <v>42571</v>
      </c>
      <c r="J1294" s="162">
        <v>7148227.2199999988</v>
      </c>
      <c r="K1294" s="162">
        <v>7148227.2199999988</v>
      </c>
      <c r="L1294" s="198"/>
      <c r="M1294" s="199"/>
      <c r="N1294" s="200">
        <v>1</v>
      </c>
      <c r="O1294" s="735"/>
      <c r="P1294" s="176"/>
      <c r="Q1294" s="446"/>
      <c r="R1294" s="676"/>
      <c r="S1294" s="9"/>
      <c r="T1294" s="9"/>
      <c r="U1294" s="9"/>
      <c r="V1294" s="9"/>
    </row>
    <row r="1295" spans="1:22" s="11" customFormat="1" ht="49.5" outlineLevel="1" x14ac:dyDescent="0.25">
      <c r="A1295" s="1070"/>
      <c r="B1295" s="1076"/>
      <c r="C1295" s="294" t="s">
        <v>37</v>
      </c>
      <c r="D1295" s="180">
        <v>99027.87</v>
      </c>
      <c r="E1295" s="184" t="s">
        <v>570</v>
      </c>
      <c r="F1295" s="181" t="s">
        <v>534</v>
      </c>
      <c r="G1295" s="182">
        <f>83921.92*1.18</f>
        <v>99027.86559999999</v>
      </c>
      <c r="H1295" s="183">
        <v>42388</v>
      </c>
      <c r="I1295" s="183">
        <v>42408</v>
      </c>
      <c r="J1295" s="184">
        <v>99027.87</v>
      </c>
      <c r="K1295" s="184">
        <v>99027.87</v>
      </c>
      <c r="L1295" s="183"/>
      <c r="M1295" s="184">
        <f>J1295-D1295</f>
        <v>0</v>
      </c>
      <c r="N1295" s="202"/>
      <c r="O1295" s="283" t="s">
        <v>727</v>
      </c>
      <c r="P1295" s="176"/>
      <c r="Q1295" s="446"/>
      <c r="R1295" s="335"/>
      <c r="S1295" s="2"/>
      <c r="T1295" s="2"/>
      <c r="U1295" s="2"/>
      <c r="V1295" s="2"/>
    </row>
    <row r="1296" spans="1:22" s="11" customFormat="1" ht="17.25" outlineLevel="1" thickBot="1" x14ac:dyDescent="0.3">
      <c r="A1296" s="1006" t="s">
        <v>628</v>
      </c>
      <c r="B1296" s="1007"/>
      <c r="C1296" s="691"/>
      <c r="D1296" s="480">
        <f>SUM(D1294:D1295)</f>
        <v>7247255.0899999999</v>
      </c>
      <c r="E1296" s="677"/>
      <c r="F1296" s="677"/>
      <c r="G1296" s="693">
        <f>SUM(G1294:G1295)</f>
        <v>7169273.3556000004</v>
      </c>
      <c r="H1296" s="309"/>
      <c r="I1296" s="321"/>
      <c r="J1296" s="480">
        <f>SUM(J1294:J1295)</f>
        <v>7247255.0899999989</v>
      </c>
      <c r="K1296" s="480">
        <f>SUM(K1294:K1295)</f>
        <v>7247255.0899999989</v>
      </c>
      <c r="L1296" s="482"/>
      <c r="M1296" s="480"/>
      <c r="N1296" s="728">
        <f>AVERAGE(N1294:N1295)</f>
        <v>1</v>
      </c>
      <c r="O1296" s="694"/>
      <c r="P1296" s="176"/>
      <c r="Q1296" s="446"/>
      <c r="R1296" s="335"/>
      <c r="S1296" s="2"/>
      <c r="T1296" s="2"/>
      <c r="U1296" s="2"/>
      <c r="V1296" s="2"/>
    </row>
    <row r="1297" spans="1:22" s="10" customFormat="1" ht="30" customHeight="1" outlineLevel="1" x14ac:dyDescent="0.25">
      <c r="A1297" s="1069">
        <v>11</v>
      </c>
      <c r="B1297" s="1075" t="s">
        <v>284</v>
      </c>
      <c r="C1297" s="159" t="s">
        <v>38</v>
      </c>
      <c r="D1297" s="159">
        <v>534099.79</v>
      </c>
      <c r="E1297" s="162" t="s">
        <v>875</v>
      </c>
      <c r="F1297" s="162" t="s">
        <v>876</v>
      </c>
      <c r="G1297" s="160">
        <v>544837.79</v>
      </c>
      <c r="H1297" s="161">
        <v>42550</v>
      </c>
      <c r="I1297" s="161">
        <v>42571</v>
      </c>
      <c r="J1297" s="162">
        <v>534099.79</v>
      </c>
      <c r="K1297" s="162">
        <v>534099.79</v>
      </c>
      <c r="L1297" s="198"/>
      <c r="M1297" s="199"/>
      <c r="N1297" s="200">
        <v>1</v>
      </c>
      <c r="O1297" s="729"/>
      <c r="P1297" s="176"/>
      <c r="Q1297" s="446"/>
      <c r="R1297" s="676"/>
      <c r="S1297" s="9"/>
      <c r="T1297" s="9"/>
      <c r="U1297" s="9"/>
      <c r="V1297" s="9"/>
    </row>
    <row r="1298" spans="1:22" s="11" customFormat="1" ht="33" outlineLevel="1" x14ac:dyDescent="0.25">
      <c r="A1298" s="1070"/>
      <c r="B1298" s="1076"/>
      <c r="C1298" s="169" t="s">
        <v>501</v>
      </c>
      <c r="D1298" s="169">
        <v>4285000</v>
      </c>
      <c r="E1298" s="173" t="s">
        <v>1178</v>
      </c>
      <c r="F1298" s="432" t="s">
        <v>1179</v>
      </c>
      <c r="G1298" s="170">
        <v>2335493.9</v>
      </c>
      <c r="H1298" s="171">
        <v>42916</v>
      </c>
      <c r="I1298" s="172"/>
      <c r="J1298" s="173"/>
      <c r="K1298" s="173"/>
      <c r="L1298" s="171"/>
      <c r="M1298" s="173"/>
      <c r="N1298" s="460">
        <v>0</v>
      </c>
      <c r="O1298" s="733"/>
      <c r="P1298" s="176">
        <v>2017</v>
      </c>
      <c r="Q1298" s="446"/>
      <c r="R1298" s="335"/>
      <c r="S1298" s="2"/>
      <c r="T1298" s="2"/>
      <c r="U1298" s="2"/>
      <c r="V1298" s="2"/>
    </row>
    <row r="1299" spans="1:22" s="11" customFormat="1" ht="17.25" outlineLevel="1" thickBot="1" x14ac:dyDescent="0.3">
      <c r="A1299" s="1006" t="s">
        <v>628</v>
      </c>
      <c r="B1299" s="1007"/>
      <c r="C1299" s="238"/>
      <c r="D1299" s="187">
        <f>SUM(D1297:D1298)</f>
        <v>4819099.79</v>
      </c>
      <c r="E1299" s="677"/>
      <c r="F1299" s="677"/>
      <c r="G1299" s="189">
        <f>SUM(G1297:G1298)</f>
        <v>2880331.69</v>
      </c>
      <c r="H1299" s="309"/>
      <c r="I1299" s="321"/>
      <c r="J1299" s="187">
        <f>SUM(J1297:J1298)</f>
        <v>534099.79</v>
      </c>
      <c r="K1299" s="187">
        <f>SUM(K1297:K1298)</f>
        <v>534099.79</v>
      </c>
      <c r="L1299" s="204"/>
      <c r="M1299" s="187"/>
      <c r="N1299" s="728">
        <f>AVERAGE(N1297:N1298)</f>
        <v>0.5</v>
      </c>
      <c r="O1299" s="713"/>
      <c r="P1299" s="176"/>
      <c r="Q1299" s="446"/>
      <c r="R1299" s="335"/>
      <c r="S1299" s="2"/>
      <c r="T1299" s="2"/>
      <c r="U1299" s="2"/>
      <c r="V1299" s="2"/>
    </row>
    <row r="1300" spans="1:22" s="10" customFormat="1" ht="33" outlineLevel="1" x14ac:dyDescent="0.25">
      <c r="A1300" s="1069">
        <v>12</v>
      </c>
      <c r="B1300" s="1075" t="s">
        <v>285</v>
      </c>
      <c r="C1300" s="159" t="s">
        <v>38</v>
      </c>
      <c r="D1300" s="159">
        <v>534099.79</v>
      </c>
      <c r="E1300" s="162" t="s">
        <v>875</v>
      </c>
      <c r="F1300" s="162" t="s">
        <v>876</v>
      </c>
      <c r="G1300" s="160">
        <v>544837.79</v>
      </c>
      <c r="H1300" s="161">
        <v>42550</v>
      </c>
      <c r="I1300" s="161">
        <v>42571</v>
      </c>
      <c r="J1300" s="162">
        <v>534099.79</v>
      </c>
      <c r="K1300" s="162">
        <v>534099.79</v>
      </c>
      <c r="L1300" s="198"/>
      <c r="M1300" s="199"/>
      <c r="N1300" s="200">
        <v>1</v>
      </c>
      <c r="O1300" s="729"/>
      <c r="P1300" s="176"/>
      <c r="Q1300" s="446"/>
      <c r="R1300" s="676"/>
      <c r="S1300" s="9"/>
      <c r="T1300" s="9"/>
      <c r="U1300" s="9"/>
      <c r="V1300" s="9"/>
    </row>
    <row r="1301" spans="1:22" s="11" customFormat="1" ht="33" outlineLevel="1" x14ac:dyDescent="0.25">
      <c r="A1301" s="1070"/>
      <c r="B1301" s="1076"/>
      <c r="C1301" s="169" t="s">
        <v>501</v>
      </c>
      <c r="D1301" s="169">
        <v>5310000</v>
      </c>
      <c r="E1301" s="173" t="s">
        <v>1178</v>
      </c>
      <c r="F1301" s="432" t="s">
        <v>1179</v>
      </c>
      <c r="G1301" s="170">
        <v>2064506.09</v>
      </c>
      <c r="H1301" s="171">
        <v>42916</v>
      </c>
      <c r="I1301" s="172"/>
      <c r="J1301" s="173"/>
      <c r="K1301" s="173"/>
      <c r="L1301" s="171"/>
      <c r="M1301" s="173"/>
      <c r="N1301" s="460">
        <v>0</v>
      </c>
      <c r="O1301" s="733"/>
      <c r="P1301" s="176">
        <v>2017</v>
      </c>
      <c r="Q1301" s="446"/>
      <c r="R1301" s="335"/>
      <c r="S1301" s="2"/>
      <c r="T1301" s="2"/>
      <c r="U1301" s="2"/>
      <c r="V1301" s="2"/>
    </row>
    <row r="1302" spans="1:22" s="11" customFormat="1" ht="17.25" outlineLevel="1" thickBot="1" x14ac:dyDescent="0.3">
      <c r="A1302" s="1010" t="s">
        <v>628</v>
      </c>
      <c r="B1302" s="1011"/>
      <c r="C1302" s="246"/>
      <c r="D1302" s="187">
        <f>SUM(D1300:D1301)</f>
        <v>5844099.79</v>
      </c>
      <c r="E1302" s="310"/>
      <c r="F1302" s="310"/>
      <c r="G1302" s="189">
        <f>SUM(G1300:G1301)</f>
        <v>2609343.88</v>
      </c>
      <c r="H1302" s="308"/>
      <c r="I1302" s="277"/>
      <c r="J1302" s="187">
        <f>SUM(J1300:J1301)</f>
        <v>534099.79</v>
      </c>
      <c r="K1302" s="187">
        <f>SUM(K1300:K1301)</f>
        <v>534099.79</v>
      </c>
      <c r="L1302" s="218"/>
      <c r="M1302" s="214"/>
      <c r="N1302" s="421">
        <f>AVERAGE(N1300:N1301)</f>
        <v>0.5</v>
      </c>
      <c r="O1302" s="734"/>
      <c r="P1302" s="176"/>
      <c r="Q1302" s="446"/>
      <c r="R1302" s="335"/>
      <c r="S1302" s="2"/>
      <c r="T1302" s="2"/>
      <c r="U1302" s="2"/>
      <c r="V1302" s="2"/>
    </row>
    <row r="1303" spans="1:22" s="10" customFormat="1" ht="33" x14ac:dyDescent="0.25">
      <c r="A1303" s="711">
        <v>13</v>
      </c>
      <c r="B1303" s="406" t="s">
        <v>286</v>
      </c>
      <c r="C1303" s="159" t="s">
        <v>38</v>
      </c>
      <c r="D1303" s="159">
        <v>534099.79</v>
      </c>
      <c r="E1303" s="162" t="s">
        <v>875</v>
      </c>
      <c r="F1303" s="162" t="s">
        <v>876</v>
      </c>
      <c r="G1303" s="160">
        <v>544837.79</v>
      </c>
      <c r="H1303" s="161">
        <v>42550</v>
      </c>
      <c r="I1303" s="161">
        <v>42571</v>
      </c>
      <c r="J1303" s="162">
        <v>534099.79</v>
      </c>
      <c r="K1303" s="162">
        <v>534099.79</v>
      </c>
      <c r="L1303" s="198"/>
      <c r="M1303" s="199"/>
      <c r="N1303" s="200">
        <v>1</v>
      </c>
      <c r="O1303" s="729"/>
      <c r="P1303" s="176"/>
      <c r="Q1303" s="446"/>
      <c r="R1303" s="676"/>
      <c r="S1303" s="9"/>
      <c r="T1303" s="9"/>
      <c r="U1303" s="9"/>
      <c r="V1303" s="9"/>
    </row>
    <row r="1304" spans="1:22" s="11" customFormat="1" ht="17.25" outlineLevel="1" thickBot="1" x14ac:dyDescent="0.3">
      <c r="A1304" s="1006" t="s">
        <v>628</v>
      </c>
      <c r="B1304" s="1007"/>
      <c r="C1304" s="481"/>
      <c r="D1304" s="480">
        <f>SUM(D1303:D1303)</f>
        <v>534099.79</v>
      </c>
      <c r="E1304" s="677"/>
      <c r="F1304" s="677"/>
      <c r="G1304" s="693">
        <f>SUM(G1303:G1303)</f>
        <v>544837.79</v>
      </c>
      <c r="H1304" s="309"/>
      <c r="I1304" s="321"/>
      <c r="J1304" s="480">
        <f>SUM(J1303:J1303)</f>
        <v>534099.79</v>
      </c>
      <c r="K1304" s="480">
        <f>SUM(K1303:K1303)</f>
        <v>534099.79</v>
      </c>
      <c r="L1304" s="482"/>
      <c r="M1304" s="480"/>
      <c r="N1304" s="728">
        <f>AVERAGE(N1303)</f>
        <v>1</v>
      </c>
      <c r="O1304" s="713"/>
      <c r="P1304" s="176"/>
      <c r="Q1304" s="446"/>
      <c r="R1304" s="335"/>
      <c r="S1304" s="2"/>
      <c r="T1304" s="2"/>
      <c r="U1304" s="2"/>
      <c r="V1304" s="2"/>
    </row>
    <row r="1305" spans="1:22" s="10" customFormat="1" ht="33" x14ac:dyDescent="0.25">
      <c r="A1305" s="1069">
        <v>14</v>
      </c>
      <c r="B1305" s="1080" t="s">
        <v>293</v>
      </c>
      <c r="C1305" s="278" t="s">
        <v>500</v>
      </c>
      <c r="D1305" s="159">
        <v>4228317.5999999996</v>
      </c>
      <c r="E1305" s="163" t="s">
        <v>1191</v>
      </c>
      <c r="F1305" s="275" t="s">
        <v>876</v>
      </c>
      <c r="G1305" s="208">
        <v>4228317.5999999996</v>
      </c>
      <c r="H1305" s="210">
        <v>42729</v>
      </c>
      <c r="I1305" s="161">
        <v>42726</v>
      </c>
      <c r="J1305" s="162">
        <v>4145409.62</v>
      </c>
      <c r="K1305" s="162">
        <v>4145409.62</v>
      </c>
      <c r="L1305" s="198"/>
      <c r="M1305" s="199"/>
      <c r="N1305" s="376">
        <v>0</v>
      </c>
      <c r="O1305" s="699"/>
      <c r="P1305" s="176">
        <v>2017</v>
      </c>
      <c r="Q1305" s="446"/>
      <c r="R1305" s="676"/>
      <c r="S1305" s="9"/>
      <c r="T1305" s="9"/>
      <c r="U1305" s="9"/>
      <c r="V1305" s="9"/>
    </row>
    <row r="1306" spans="1:22" s="11" customFormat="1" ht="49.5" outlineLevel="1" x14ac:dyDescent="0.25">
      <c r="A1306" s="1070"/>
      <c r="B1306" s="1064"/>
      <c r="C1306" s="356" t="s">
        <v>37</v>
      </c>
      <c r="D1306" s="357">
        <v>67625.350000000006</v>
      </c>
      <c r="E1306" s="361" t="s">
        <v>569</v>
      </c>
      <c r="F1306" s="358" t="s">
        <v>534</v>
      </c>
      <c r="G1306" s="359">
        <f>57309.62*1.18</f>
        <v>67625.351599999995</v>
      </c>
      <c r="H1306" s="360">
        <v>42459</v>
      </c>
      <c r="I1306" s="360">
        <v>42535</v>
      </c>
      <c r="J1306" s="361">
        <v>67625.350000000006</v>
      </c>
      <c r="K1306" s="361">
        <v>67625.350000000006</v>
      </c>
      <c r="L1306" s="360"/>
      <c r="M1306" s="361">
        <f>J1306-D1306</f>
        <v>0</v>
      </c>
      <c r="N1306" s="362"/>
      <c r="O1306" s="466" t="s">
        <v>727</v>
      </c>
      <c r="P1306" s="176"/>
      <c r="Q1306" s="446"/>
      <c r="R1306" s="335"/>
      <c r="S1306" s="2"/>
      <c r="T1306" s="2"/>
      <c r="U1306" s="2"/>
      <c r="V1306" s="2"/>
    </row>
    <row r="1307" spans="1:22" s="11" customFormat="1" ht="17.25" outlineLevel="1" thickBot="1" x14ac:dyDescent="0.3">
      <c r="A1307" s="1006" t="s">
        <v>628</v>
      </c>
      <c r="B1307" s="1007"/>
      <c r="C1307" s="691"/>
      <c r="D1307" s="480">
        <f>SUM(D1305:D1306)</f>
        <v>4295942.9499999993</v>
      </c>
      <c r="E1307" s="677"/>
      <c r="F1307" s="677"/>
      <c r="G1307" s="693">
        <f>SUM(G1305:G1306)</f>
        <v>4295942.9515999993</v>
      </c>
      <c r="H1307" s="309"/>
      <c r="I1307" s="321"/>
      <c r="J1307" s="480">
        <f t="shared" ref="J1307" si="112">SUM(J1305:J1306)</f>
        <v>4213034.97</v>
      </c>
      <c r="K1307" s="480">
        <f>SUM(K1305:K1306)</f>
        <v>4213034.97</v>
      </c>
      <c r="L1307" s="482"/>
      <c r="M1307" s="480"/>
      <c r="N1307" s="728">
        <f>AVERAGE(N1305:N1306)</f>
        <v>0</v>
      </c>
      <c r="O1307" s="694"/>
      <c r="P1307" s="176"/>
      <c r="Q1307" s="446"/>
      <c r="R1307" s="335"/>
      <c r="S1307" s="2"/>
      <c r="T1307" s="2"/>
      <c r="U1307" s="2"/>
      <c r="V1307" s="2"/>
    </row>
    <row r="1308" spans="1:22" s="10" customFormat="1" ht="49.5" x14ac:dyDescent="0.25">
      <c r="A1308" s="1069">
        <v>15</v>
      </c>
      <c r="B1308" s="1080" t="s">
        <v>4</v>
      </c>
      <c r="C1308" s="278" t="s">
        <v>500</v>
      </c>
      <c r="D1308" s="159">
        <v>2898530.76</v>
      </c>
      <c r="E1308" s="162" t="s">
        <v>1001</v>
      </c>
      <c r="F1308" s="162" t="s">
        <v>876</v>
      </c>
      <c r="G1308" s="160">
        <v>2762156.98</v>
      </c>
      <c r="H1308" s="161">
        <v>42612</v>
      </c>
      <c r="I1308" s="161">
        <v>42668</v>
      </c>
      <c r="J1308" s="162">
        <v>2898530.76</v>
      </c>
      <c r="K1308" s="162">
        <v>2898530.76</v>
      </c>
      <c r="L1308" s="161">
        <v>42702</v>
      </c>
      <c r="M1308" s="199"/>
      <c r="N1308" s="200">
        <v>1</v>
      </c>
      <c r="O1308" s="699"/>
      <c r="P1308" s="176"/>
      <c r="Q1308" s="280" t="s">
        <v>1118</v>
      </c>
      <c r="R1308" s="676"/>
      <c r="S1308" s="9"/>
      <c r="T1308" s="9"/>
      <c r="U1308" s="9"/>
      <c r="V1308" s="9"/>
    </row>
    <row r="1309" spans="1:22" s="11" customFormat="1" ht="49.5" outlineLevel="1" x14ac:dyDescent="0.25">
      <c r="A1309" s="1070"/>
      <c r="B1309" s="1064"/>
      <c r="C1309" s="356" t="s">
        <v>37</v>
      </c>
      <c r="D1309" s="357">
        <v>72518.720000000001</v>
      </c>
      <c r="E1309" s="361" t="s">
        <v>569</v>
      </c>
      <c r="F1309" s="358" t="s">
        <v>534</v>
      </c>
      <c r="G1309" s="359">
        <f>61456.54*1.18</f>
        <v>72518.717199999999</v>
      </c>
      <c r="H1309" s="360">
        <v>42459</v>
      </c>
      <c r="I1309" s="360">
        <v>42535</v>
      </c>
      <c r="J1309" s="361">
        <v>72518.720000000001</v>
      </c>
      <c r="K1309" s="361">
        <v>72518.720000000001</v>
      </c>
      <c r="L1309" s="360"/>
      <c r="M1309" s="361">
        <f>J1309-D1309</f>
        <v>0</v>
      </c>
      <c r="N1309" s="362"/>
      <c r="O1309" s="466" t="s">
        <v>727</v>
      </c>
      <c r="P1309" s="176"/>
      <c r="Q1309" s="446"/>
      <c r="R1309" s="335"/>
      <c r="S1309" s="2"/>
      <c r="T1309" s="2"/>
      <c r="U1309" s="2"/>
      <c r="V1309" s="2"/>
    </row>
    <row r="1310" spans="1:22" s="11" customFormat="1" ht="17.25" outlineLevel="1" thickBot="1" x14ac:dyDescent="0.3">
      <c r="A1310" s="1006" t="s">
        <v>628</v>
      </c>
      <c r="B1310" s="1007"/>
      <c r="C1310" s="691"/>
      <c r="D1310" s="480">
        <f>SUM(D1308:D1309)</f>
        <v>2971049.48</v>
      </c>
      <c r="E1310" s="677"/>
      <c r="F1310" s="677"/>
      <c r="G1310" s="693">
        <f>SUM(G1308:G1309)</f>
        <v>2834675.6971999998</v>
      </c>
      <c r="H1310" s="309"/>
      <c r="I1310" s="321"/>
      <c r="J1310" s="480">
        <f t="shared" ref="J1310" si="113">SUM(J1308:J1309)</f>
        <v>2971049.48</v>
      </c>
      <c r="K1310" s="480">
        <f>SUM(K1308:K1309)</f>
        <v>2971049.48</v>
      </c>
      <c r="L1310" s="482"/>
      <c r="M1310" s="480"/>
      <c r="N1310" s="728">
        <f>AVERAGE(N1308:N1309)</f>
        <v>1</v>
      </c>
      <c r="O1310" s="694"/>
      <c r="P1310" s="176"/>
      <c r="Q1310" s="446"/>
      <c r="R1310" s="335"/>
      <c r="S1310" s="2"/>
      <c r="T1310" s="2"/>
      <c r="U1310" s="2"/>
      <c r="V1310" s="2"/>
    </row>
    <row r="1311" spans="1:22" s="10" customFormat="1" ht="33" x14ac:dyDescent="0.25">
      <c r="A1311" s="1069">
        <v>16</v>
      </c>
      <c r="B1311" s="1080" t="s">
        <v>294</v>
      </c>
      <c r="C1311" s="278" t="s">
        <v>500</v>
      </c>
      <c r="D1311" s="159">
        <v>2839651.12</v>
      </c>
      <c r="E1311" s="163" t="s">
        <v>1191</v>
      </c>
      <c r="F1311" s="275" t="s">
        <v>876</v>
      </c>
      <c r="G1311" s="208">
        <v>2839651.12</v>
      </c>
      <c r="H1311" s="210">
        <v>42729</v>
      </c>
      <c r="I1311" s="161">
        <v>42726</v>
      </c>
      <c r="J1311" s="162">
        <v>2783971.64</v>
      </c>
      <c r="K1311" s="162">
        <v>2783971.64</v>
      </c>
      <c r="L1311" s="198"/>
      <c r="M1311" s="199"/>
      <c r="N1311" s="376">
        <v>0</v>
      </c>
      <c r="O1311" s="699"/>
      <c r="P1311" s="176">
        <v>2017</v>
      </c>
      <c r="Q1311" s="446"/>
      <c r="R1311" s="676"/>
      <c r="S1311" s="9"/>
      <c r="T1311" s="9"/>
      <c r="U1311" s="9"/>
      <c r="V1311" s="9"/>
    </row>
    <row r="1312" spans="1:22" s="11" customFormat="1" ht="49.5" outlineLevel="1" x14ac:dyDescent="0.25">
      <c r="A1312" s="1070"/>
      <c r="B1312" s="1064"/>
      <c r="C1312" s="356" t="s">
        <v>37</v>
      </c>
      <c r="D1312" s="357">
        <v>63662.78</v>
      </c>
      <c r="E1312" s="361" t="s">
        <v>569</v>
      </c>
      <c r="F1312" s="358" t="s">
        <v>534</v>
      </c>
      <c r="G1312" s="359">
        <f>53951.51*1.18</f>
        <v>63662.781799999997</v>
      </c>
      <c r="H1312" s="360">
        <v>42459</v>
      </c>
      <c r="I1312" s="360">
        <v>42535</v>
      </c>
      <c r="J1312" s="361">
        <v>63662.78</v>
      </c>
      <c r="K1312" s="361">
        <v>63662.78</v>
      </c>
      <c r="L1312" s="360"/>
      <c r="M1312" s="361">
        <f>J1312-D1312</f>
        <v>0</v>
      </c>
      <c r="N1312" s="362"/>
      <c r="O1312" s="466" t="s">
        <v>694</v>
      </c>
      <c r="P1312" s="176"/>
      <c r="Q1312" s="446"/>
      <c r="R1312" s="335"/>
      <c r="S1312" s="2"/>
      <c r="T1312" s="2"/>
      <c r="U1312" s="2"/>
      <c r="V1312" s="2"/>
    </row>
    <row r="1313" spans="1:22" s="11" customFormat="1" ht="17.25" outlineLevel="1" thickBot="1" x14ac:dyDescent="0.3">
      <c r="A1313" s="1010" t="s">
        <v>628</v>
      </c>
      <c r="B1313" s="1011"/>
      <c r="C1313" s="607"/>
      <c r="D1313" s="480">
        <f>SUM(D1311:D1312)</f>
        <v>2903313.9</v>
      </c>
      <c r="E1313" s="310"/>
      <c r="F1313" s="310"/>
      <c r="G1313" s="693">
        <f>SUM(G1311:G1312)</f>
        <v>2903313.9018000001</v>
      </c>
      <c r="H1313" s="308"/>
      <c r="I1313" s="277"/>
      <c r="J1313" s="480">
        <f t="shared" ref="J1313" si="114">SUM(J1311:J1312)</f>
        <v>2847634.42</v>
      </c>
      <c r="K1313" s="480">
        <f>SUM(K1311:K1312)</f>
        <v>2847634.42</v>
      </c>
      <c r="L1313" s="579"/>
      <c r="M1313" s="577"/>
      <c r="N1313" s="728">
        <f>AVERAGE(N1311:N1312)</f>
        <v>0</v>
      </c>
      <c r="O1313" s="707"/>
      <c r="P1313" s="176"/>
      <c r="Q1313" s="446"/>
      <c r="R1313" s="335"/>
      <c r="S1313" s="2"/>
      <c r="T1313" s="2"/>
      <c r="U1313" s="2"/>
      <c r="V1313" s="2"/>
    </row>
    <row r="1314" spans="1:22" s="10" customFormat="1" ht="49.5" x14ac:dyDescent="0.25">
      <c r="A1314" s="1069">
        <v>17</v>
      </c>
      <c r="B1314" s="1075" t="s">
        <v>567</v>
      </c>
      <c r="C1314" s="159" t="s">
        <v>38</v>
      </c>
      <c r="D1314" s="159">
        <v>1002158.66</v>
      </c>
      <c r="E1314" s="487" t="s">
        <v>1001</v>
      </c>
      <c r="F1314" s="162" t="s">
        <v>876</v>
      </c>
      <c r="G1314" s="160">
        <v>1093298.32</v>
      </c>
      <c r="H1314" s="206">
        <v>42607</v>
      </c>
      <c r="I1314" s="161">
        <v>42668</v>
      </c>
      <c r="J1314" s="162">
        <v>1002158.66</v>
      </c>
      <c r="K1314" s="162">
        <v>1002158.66</v>
      </c>
      <c r="L1314" s="161">
        <v>42702</v>
      </c>
      <c r="M1314" s="199"/>
      <c r="N1314" s="200">
        <v>1</v>
      </c>
      <c r="O1314" s="736"/>
      <c r="P1314" s="176"/>
      <c r="Q1314" s="280" t="s">
        <v>1118</v>
      </c>
      <c r="R1314" s="676"/>
      <c r="S1314" s="9"/>
      <c r="T1314" s="9"/>
      <c r="U1314" s="9"/>
      <c r="V1314" s="9"/>
    </row>
    <row r="1315" spans="1:22" s="11" customFormat="1" ht="49.5" outlineLevel="1" x14ac:dyDescent="0.25">
      <c r="A1315" s="1070"/>
      <c r="B1315" s="1076"/>
      <c r="C1315" s="208" t="s">
        <v>34</v>
      </c>
      <c r="D1315" s="208">
        <v>3719060.28</v>
      </c>
      <c r="E1315" s="316" t="s">
        <v>1001</v>
      </c>
      <c r="F1315" s="163" t="s">
        <v>876</v>
      </c>
      <c r="G1315" s="209">
        <v>3896817.84</v>
      </c>
      <c r="H1315" s="210">
        <v>42607</v>
      </c>
      <c r="I1315" s="210">
        <v>42668</v>
      </c>
      <c r="J1315" s="163">
        <v>3719060.28</v>
      </c>
      <c r="K1315" s="163">
        <v>3719060.28</v>
      </c>
      <c r="L1315" s="210">
        <v>42702</v>
      </c>
      <c r="M1315" s="163"/>
      <c r="N1315" s="213">
        <v>1</v>
      </c>
      <c r="O1315" s="733"/>
      <c r="P1315" s="176"/>
      <c r="Q1315" s="280" t="s">
        <v>1118</v>
      </c>
      <c r="R1315" s="335"/>
      <c r="S1315" s="2"/>
      <c r="T1315" s="2"/>
      <c r="U1315" s="2"/>
      <c r="V1315" s="2"/>
    </row>
    <row r="1316" spans="1:22" s="11" customFormat="1" ht="49.5" outlineLevel="1" x14ac:dyDescent="0.25">
      <c r="A1316" s="1070"/>
      <c r="B1316" s="1076"/>
      <c r="C1316" s="208" t="s">
        <v>35</v>
      </c>
      <c r="D1316" s="208">
        <v>1980392.82</v>
      </c>
      <c r="E1316" s="316" t="s">
        <v>1001</v>
      </c>
      <c r="F1316" s="163" t="s">
        <v>876</v>
      </c>
      <c r="G1316" s="209">
        <v>2020000.7</v>
      </c>
      <c r="H1316" s="212">
        <v>42607</v>
      </c>
      <c r="I1316" s="210">
        <v>42668</v>
      </c>
      <c r="J1316" s="163">
        <v>1980392.82</v>
      </c>
      <c r="K1316" s="163">
        <v>1980392.82</v>
      </c>
      <c r="L1316" s="210">
        <v>42702</v>
      </c>
      <c r="M1316" s="163"/>
      <c r="N1316" s="213">
        <v>1</v>
      </c>
      <c r="O1316" s="733"/>
      <c r="P1316" s="176"/>
      <c r="Q1316" s="280" t="s">
        <v>1118</v>
      </c>
      <c r="R1316" s="335"/>
      <c r="S1316" s="2"/>
      <c r="T1316" s="2"/>
      <c r="U1316" s="2"/>
      <c r="V1316" s="2"/>
    </row>
    <row r="1317" spans="1:22" s="11" customFormat="1" ht="49.5" outlineLevel="1" x14ac:dyDescent="0.25">
      <c r="A1317" s="1070"/>
      <c r="B1317" s="1076"/>
      <c r="C1317" s="208" t="s">
        <v>500</v>
      </c>
      <c r="D1317" s="208">
        <v>3868445.92</v>
      </c>
      <c r="E1317" s="163" t="s">
        <v>1001</v>
      </c>
      <c r="F1317" s="275" t="s">
        <v>876</v>
      </c>
      <c r="G1317" s="209">
        <v>3878468.84</v>
      </c>
      <c r="H1317" s="210">
        <v>42612</v>
      </c>
      <c r="I1317" s="210">
        <v>42668</v>
      </c>
      <c r="J1317" s="163">
        <v>3868445.92</v>
      </c>
      <c r="K1317" s="163">
        <v>3868445.92</v>
      </c>
      <c r="L1317" s="212">
        <v>42702</v>
      </c>
      <c r="M1317" s="163"/>
      <c r="N1317" s="213">
        <v>1</v>
      </c>
      <c r="O1317" s="733"/>
      <c r="P1317" s="176"/>
      <c r="Q1317" s="280" t="s">
        <v>1118</v>
      </c>
      <c r="R1317" s="335"/>
      <c r="S1317" s="2"/>
      <c r="T1317" s="2"/>
      <c r="U1317" s="2"/>
      <c r="V1317" s="2"/>
    </row>
    <row r="1318" spans="1:22" s="11" customFormat="1" ht="33" outlineLevel="1" x14ac:dyDescent="0.25">
      <c r="A1318" s="1070"/>
      <c r="B1318" s="1076"/>
      <c r="C1318" s="169" t="s">
        <v>501</v>
      </c>
      <c r="D1318" s="339">
        <v>6474169.1200000001</v>
      </c>
      <c r="E1318" s="403" t="s">
        <v>1112</v>
      </c>
      <c r="F1318" s="403" t="s">
        <v>876</v>
      </c>
      <c r="G1318" s="703">
        <v>6474169.1200000001</v>
      </c>
      <c r="H1318" s="171">
        <v>42689</v>
      </c>
      <c r="I1318" s="172"/>
      <c r="J1318" s="173"/>
      <c r="K1318" s="173"/>
      <c r="L1318" s="171"/>
      <c r="M1318" s="173"/>
      <c r="N1318" s="460"/>
      <c r="O1318" s="733"/>
      <c r="P1318" s="176">
        <v>2017</v>
      </c>
      <c r="Q1318" s="446"/>
      <c r="R1318" s="335"/>
      <c r="S1318" s="2"/>
      <c r="T1318" s="2"/>
      <c r="U1318" s="2"/>
      <c r="V1318" s="2"/>
    </row>
    <row r="1319" spans="1:22" s="11" customFormat="1" ht="49.5" outlineLevel="1" x14ac:dyDescent="0.25">
      <c r="A1319" s="1070"/>
      <c r="B1319" s="1076"/>
      <c r="C1319" s="356" t="s">
        <v>37</v>
      </c>
      <c r="D1319" s="357">
        <v>267611.34999999998</v>
      </c>
      <c r="E1319" s="361" t="s">
        <v>569</v>
      </c>
      <c r="F1319" s="358" t="s">
        <v>534</v>
      </c>
      <c r="G1319" s="359">
        <f>226789.28*1.18</f>
        <v>267611.3504</v>
      </c>
      <c r="H1319" s="360">
        <v>42459</v>
      </c>
      <c r="I1319" s="360">
        <v>42535</v>
      </c>
      <c r="J1319" s="361">
        <v>267611.34999999998</v>
      </c>
      <c r="K1319" s="361">
        <v>267611.34999999998</v>
      </c>
      <c r="L1319" s="360"/>
      <c r="M1319" s="361">
        <f>J1319-D1319</f>
        <v>0</v>
      </c>
      <c r="N1319" s="362"/>
      <c r="O1319" s="466" t="s">
        <v>907</v>
      </c>
      <c r="P1319" s="176"/>
      <c r="Q1319" s="446"/>
      <c r="R1319" s="335"/>
      <c r="S1319" s="2"/>
      <c r="T1319" s="2"/>
      <c r="U1319" s="2"/>
      <c r="V1319" s="2"/>
    </row>
    <row r="1320" spans="1:22" s="11" customFormat="1" ht="17.25" outlineLevel="1" thickBot="1" x14ac:dyDescent="0.3">
      <c r="A1320" s="1006" t="s">
        <v>628</v>
      </c>
      <c r="B1320" s="1007"/>
      <c r="C1320" s="481"/>
      <c r="D1320" s="480">
        <f>SUM(D1314:D1319)</f>
        <v>17311838.150000002</v>
      </c>
      <c r="E1320" s="677"/>
      <c r="F1320" s="677"/>
      <c r="G1320" s="693">
        <f>SUM(G1314:G1319)</f>
        <v>17630366.170400001</v>
      </c>
      <c r="H1320" s="309"/>
      <c r="I1320" s="321"/>
      <c r="J1320" s="480">
        <f t="shared" ref="J1320" si="115">SUM(J1314:J1319)</f>
        <v>10837669.029999999</v>
      </c>
      <c r="K1320" s="480">
        <f>SUM(K1314:K1319)</f>
        <v>10837669.029999999</v>
      </c>
      <c r="L1320" s="482"/>
      <c r="M1320" s="480"/>
      <c r="N1320" s="421">
        <f>AVERAGE(N1314:N1319)</f>
        <v>1</v>
      </c>
      <c r="O1320" s="713"/>
      <c r="P1320" s="176"/>
      <c r="Q1320" s="446"/>
      <c r="R1320" s="335"/>
      <c r="S1320" s="2"/>
      <c r="T1320" s="2"/>
      <c r="U1320" s="2"/>
      <c r="V1320" s="2"/>
    </row>
    <row r="1321" spans="1:22" s="76" customFormat="1" ht="32.25" customHeight="1" x14ac:dyDescent="0.25">
      <c r="A1321" s="1071">
        <v>18</v>
      </c>
      <c r="B1321" s="1089" t="s">
        <v>287</v>
      </c>
      <c r="C1321" s="159" t="s">
        <v>36</v>
      </c>
      <c r="D1321" s="159">
        <v>156280.19</v>
      </c>
      <c r="E1321" s="162" t="s">
        <v>875</v>
      </c>
      <c r="F1321" s="487" t="s">
        <v>876</v>
      </c>
      <c r="G1321" s="160">
        <v>200618.23999999999</v>
      </c>
      <c r="H1321" s="161">
        <v>42565</v>
      </c>
      <c r="I1321" s="161">
        <v>42571</v>
      </c>
      <c r="J1321" s="162">
        <v>156280.19</v>
      </c>
      <c r="K1321" s="162">
        <v>156280.19</v>
      </c>
      <c r="L1321" s="161">
        <v>42702</v>
      </c>
      <c r="M1321" s="199"/>
      <c r="N1321" s="503">
        <v>1</v>
      </c>
      <c r="O1321" s="233"/>
      <c r="P1321" s="457"/>
      <c r="Q1321" s="535"/>
      <c r="R1321" s="719"/>
      <c r="S1321" s="72"/>
      <c r="T1321" s="72"/>
      <c r="U1321" s="72"/>
      <c r="V1321" s="72"/>
    </row>
    <row r="1322" spans="1:22" s="10" customFormat="1" ht="32.25" customHeight="1" x14ac:dyDescent="0.25">
      <c r="A1322" s="1072"/>
      <c r="B1322" s="1090"/>
      <c r="C1322" s="272" t="s">
        <v>35</v>
      </c>
      <c r="D1322" s="272">
        <v>333344.09999999998</v>
      </c>
      <c r="E1322" s="275" t="s">
        <v>1001</v>
      </c>
      <c r="F1322" s="163" t="s">
        <v>876</v>
      </c>
      <c r="G1322" s="274">
        <v>340011.1</v>
      </c>
      <c r="H1322" s="212">
        <v>42607</v>
      </c>
      <c r="I1322" s="212">
        <v>42668</v>
      </c>
      <c r="J1322" s="275">
        <v>333344.09999999998</v>
      </c>
      <c r="K1322" s="275">
        <v>333344.09999999998</v>
      </c>
      <c r="L1322" s="210">
        <v>42702</v>
      </c>
      <c r="M1322" s="276"/>
      <c r="N1322" s="738">
        <v>1</v>
      </c>
      <c r="O1322" s="739"/>
      <c r="P1322" s="176"/>
      <c r="Q1322" s="280" t="s">
        <v>1118</v>
      </c>
      <c r="R1322" s="676"/>
      <c r="S1322" s="9"/>
      <c r="T1322" s="9"/>
      <c r="U1322" s="9"/>
      <c r="V1322" s="9"/>
    </row>
    <row r="1323" spans="1:22" s="10" customFormat="1" ht="32.25" customHeight="1" x14ac:dyDescent="0.25">
      <c r="A1323" s="1072"/>
      <c r="B1323" s="1090"/>
      <c r="C1323" s="272" t="s">
        <v>34</v>
      </c>
      <c r="D1323" s="272">
        <v>2331642.2400000002</v>
      </c>
      <c r="E1323" s="275" t="s">
        <v>1001</v>
      </c>
      <c r="F1323" s="498" t="s">
        <v>876</v>
      </c>
      <c r="G1323" s="274">
        <v>2381088.96</v>
      </c>
      <c r="H1323" s="212">
        <v>42607</v>
      </c>
      <c r="I1323" s="212">
        <v>42668</v>
      </c>
      <c r="J1323" s="275">
        <v>2331642.2400000002</v>
      </c>
      <c r="K1323" s="275">
        <v>2331642.2400000002</v>
      </c>
      <c r="L1323" s="210">
        <v>42702</v>
      </c>
      <c r="M1323" s="276"/>
      <c r="N1323" s="738">
        <v>1</v>
      </c>
      <c r="O1323" s="739"/>
      <c r="P1323" s="176"/>
      <c r="Q1323" s="280" t="s">
        <v>1118</v>
      </c>
      <c r="R1323" s="676"/>
      <c r="S1323" s="9"/>
      <c r="T1323" s="9"/>
      <c r="U1323" s="9"/>
      <c r="V1323" s="9"/>
    </row>
    <row r="1324" spans="1:22" s="10" customFormat="1" ht="32.25" customHeight="1" x14ac:dyDescent="0.25">
      <c r="A1324" s="1072"/>
      <c r="B1324" s="1090"/>
      <c r="C1324" s="272" t="s">
        <v>38</v>
      </c>
      <c r="D1324" s="272">
        <v>709272.04</v>
      </c>
      <c r="E1324" s="275" t="s">
        <v>1001</v>
      </c>
      <c r="F1324" s="163" t="s">
        <v>876</v>
      </c>
      <c r="G1324" s="274">
        <v>732687.96</v>
      </c>
      <c r="H1324" s="212">
        <v>42607</v>
      </c>
      <c r="I1324" s="212">
        <v>42668</v>
      </c>
      <c r="J1324" s="275">
        <v>709272.04</v>
      </c>
      <c r="K1324" s="275">
        <v>709272.04</v>
      </c>
      <c r="L1324" s="212">
        <v>42702</v>
      </c>
      <c r="M1324" s="276"/>
      <c r="N1324" s="738">
        <v>1</v>
      </c>
      <c r="O1324" s="739"/>
      <c r="P1324" s="176"/>
      <c r="Q1324" s="280" t="s">
        <v>1118</v>
      </c>
      <c r="R1324" s="676"/>
      <c r="S1324" s="9"/>
      <c r="T1324" s="9"/>
      <c r="U1324" s="9"/>
      <c r="V1324" s="9"/>
    </row>
    <row r="1325" spans="1:22" s="11" customFormat="1" ht="33" outlineLevel="1" x14ac:dyDescent="0.25">
      <c r="A1325" s="1082"/>
      <c r="B1325" s="1081"/>
      <c r="C1325" s="169" t="s">
        <v>501</v>
      </c>
      <c r="D1325" s="169">
        <v>5270000</v>
      </c>
      <c r="E1325" s="173" t="s">
        <v>1191</v>
      </c>
      <c r="F1325" s="403" t="s">
        <v>876</v>
      </c>
      <c r="G1325" s="339">
        <v>4257258.28</v>
      </c>
      <c r="H1325" s="171">
        <v>42729</v>
      </c>
      <c r="I1325" s="172"/>
      <c r="J1325" s="173"/>
      <c r="K1325" s="173"/>
      <c r="L1325" s="171"/>
      <c r="M1325" s="173"/>
      <c r="N1325" s="460">
        <v>0</v>
      </c>
      <c r="O1325" s="733"/>
      <c r="P1325" s="176">
        <v>2017</v>
      </c>
      <c r="Q1325" s="446"/>
      <c r="R1325" s="335"/>
      <c r="S1325" s="2"/>
      <c r="T1325" s="2"/>
      <c r="U1325" s="2"/>
      <c r="V1325" s="2"/>
    </row>
    <row r="1326" spans="1:22" s="11" customFormat="1" ht="17.25" outlineLevel="1" thickBot="1" x14ac:dyDescent="0.3">
      <c r="A1326" s="1006" t="s">
        <v>628</v>
      </c>
      <c r="B1326" s="1007"/>
      <c r="C1326" s="238"/>
      <c r="D1326" s="187">
        <f>SUM(D1321:D1325)</f>
        <v>8800538.5700000003</v>
      </c>
      <c r="E1326" s="677"/>
      <c r="F1326" s="677"/>
      <c r="G1326" s="189">
        <f>SUM(G1321:G1325)</f>
        <v>7911664.54</v>
      </c>
      <c r="H1326" s="309"/>
      <c r="I1326" s="321"/>
      <c r="J1326" s="187">
        <f>SUM(J1321:J1325)</f>
        <v>3530538.5700000003</v>
      </c>
      <c r="K1326" s="187">
        <f>SUM(K1321:K1325)</f>
        <v>3530538.5700000003</v>
      </c>
      <c r="L1326" s="204"/>
      <c r="M1326" s="187"/>
      <c r="N1326" s="421">
        <f>AVERAGE(N1321:N1325)</f>
        <v>0.8</v>
      </c>
      <c r="O1326" s="713"/>
      <c r="P1326" s="176"/>
      <c r="Q1326" s="446"/>
      <c r="R1326" s="335"/>
      <c r="S1326" s="2"/>
      <c r="T1326" s="2"/>
      <c r="U1326" s="2"/>
      <c r="V1326" s="2"/>
    </row>
    <row r="1327" spans="1:22" s="10" customFormat="1" ht="30" customHeight="1" x14ac:dyDescent="0.25">
      <c r="A1327" s="1069">
        <v>19</v>
      </c>
      <c r="B1327" s="1075" t="s">
        <v>645</v>
      </c>
      <c r="C1327" s="519" t="s">
        <v>38</v>
      </c>
      <c r="D1327" s="159">
        <v>670158.97</v>
      </c>
      <c r="E1327" s="1050" t="s">
        <v>875</v>
      </c>
      <c r="F1327" s="1050" t="s">
        <v>876</v>
      </c>
      <c r="G1327" s="160">
        <v>683562</v>
      </c>
      <c r="H1327" s="975">
        <v>42565</v>
      </c>
      <c r="I1327" s="161">
        <v>42571</v>
      </c>
      <c r="J1327" s="162">
        <v>670158.97</v>
      </c>
      <c r="K1327" s="162">
        <v>670158.97</v>
      </c>
      <c r="L1327" s="198"/>
      <c r="M1327" s="199"/>
      <c r="N1327" s="200">
        <v>1</v>
      </c>
      <c r="O1327" s="729"/>
      <c r="P1327" s="176"/>
      <c r="Q1327" s="446"/>
      <c r="R1327" s="676"/>
      <c r="S1327" s="9"/>
      <c r="T1327" s="9"/>
      <c r="U1327" s="9"/>
      <c r="V1327" s="9"/>
    </row>
    <row r="1328" spans="1:22" s="10" customFormat="1" ht="16.5" x14ac:dyDescent="0.25">
      <c r="A1328" s="1082"/>
      <c r="B1328" s="1081"/>
      <c r="C1328" s="208" t="s">
        <v>34</v>
      </c>
      <c r="D1328" s="208">
        <v>2203148.96</v>
      </c>
      <c r="E1328" s="994"/>
      <c r="F1328" s="994"/>
      <c r="G1328" s="603">
        <v>2221440.12</v>
      </c>
      <c r="H1328" s="976"/>
      <c r="I1328" s="210">
        <v>42572</v>
      </c>
      <c r="J1328" s="275">
        <v>2203148.96</v>
      </c>
      <c r="K1328" s="275">
        <v>2203148.96</v>
      </c>
      <c r="L1328" s="623"/>
      <c r="M1328" s="255"/>
      <c r="N1328" s="213">
        <v>1</v>
      </c>
      <c r="O1328" s="740"/>
      <c r="P1328" s="176"/>
      <c r="Q1328" s="446"/>
      <c r="R1328" s="676"/>
      <c r="S1328" s="9"/>
      <c r="T1328" s="9"/>
      <c r="U1328" s="9"/>
      <c r="V1328" s="9"/>
    </row>
    <row r="1329" spans="1:22" s="11" customFormat="1" ht="16.5" outlineLevel="1" x14ac:dyDescent="0.25">
      <c r="A1329" s="1070"/>
      <c r="B1329" s="1076"/>
      <c r="C1329" s="208" t="s">
        <v>35</v>
      </c>
      <c r="D1329" s="208">
        <v>309716.78999999998</v>
      </c>
      <c r="E1329" s="994"/>
      <c r="F1329" s="994"/>
      <c r="G1329" s="354">
        <v>317213.81</v>
      </c>
      <c r="H1329" s="976"/>
      <c r="I1329" s="257">
        <v>42573</v>
      </c>
      <c r="J1329" s="163">
        <v>309716.78999999998</v>
      </c>
      <c r="K1329" s="163">
        <v>309716.78999999998</v>
      </c>
      <c r="L1329" s="210"/>
      <c r="M1329" s="163"/>
      <c r="N1329" s="213">
        <v>1</v>
      </c>
      <c r="O1329" s="524"/>
      <c r="P1329" s="176"/>
      <c r="Q1329" s="446"/>
      <c r="R1329" s="335"/>
      <c r="S1329" s="2"/>
      <c r="T1329" s="2"/>
      <c r="U1329" s="2"/>
      <c r="V1329" s="2"/>
    </row>
    <row r="1330" spans="1:22" s="11" customFormat="1" ht="16.5" outlineLevel="1" x14ac:dyDescent="0.25">
      <c r="A1330" s="1070"/>
      <c r="B1330" s="1076"/>
      <c r="C1330" s="208" t="s">
        <v>36</v>
      </c>
      <c r="D1330" s="208">
        <v>159330.74</v>
      </c>
      <c r="E1330" s="995"/>
      <c r="F1330" s="995"/>
      <c r="G1330" s="209">
        <v>230871.59</v>
      </c>
      <c r="H1330" s="977"/>
      <c r="I1330" s="210">
        <v>42574</v>
      </c>
      <c r="J1330" s="163">
        <v>159330.74</v>
      </c>
      <c r="K1330" s="163">
        <v>159330.74</v>
      </c>
      <c r="L1330" s="210"/>
      <c r="M1330" s="163"/>
      <c r="N1330" s="213">
        <v>1</v>
      </c>
      <c r="O1330" s="186"/>
      <c r="P1330" s="176"/>
      <c r="Q1330" s="446"/>
      <c r="R1330" s="335"/>
      <c r="S1330" s="2"/>
      <c r="T1330" s="2"/>
      <c r="U1330" s="2"/>
      <c r="V1330" s="2"/>
    </row>
    <row r="1331" spans="1:22" s="11" customFormat="1" ht="33" outlineLevel="1" x14ac:dyDescent="0.25">
      <c r="A1331" s="1070"/>
      <c r="B1331" s="1076"/>
      <c r="C1331" s="339" t="s">
        <v>501</v>
      </c>
      <c r="D1331" s="339">
        <v>6505000</v>
      </c>
      <c r="E1331" s="173" t="s">
        <v>1191</v>
      </c>
      <c r="F1331" s="403" t="s">
        <v>876</v>
      </c>
      <c r="G1331" s="339">
        <v>4404898.7</v>
      </c>
      <c r="H1331" s="171">
        <v>42729</v>
      </c>
      <c r="I1331" s="172"/>
      <c r="J1331" s="173"/>
      <c r="K1331" s="173">
        <v>866215</v>
      </c>
      <c r="L1331" s="171"/>
      <c r="M1331" s="173"/>
      <c r="N1331" s="460">
        <v>0</v>
      </c>
      <c r="O1331" s="733"/>
      <c r="P1331" s="176">
        <v>2017</v>
      </c>
      <c r="Q1331" s="446"/>
      <c r="R1331" s="335"/>
      <c r="S1331" s="2"/>
      <c r="T1331" s="2"/>
      <c r="U1331" s="2"/>
      <c r="V1331" s="2"/>
    </row>
    <row r="1332" spans="1:22" s="11" customFormat="1" ht="17.25" outlineLevel="1" thickBot="1" x14ac:dyDescent="0.3">
      <c r="A1332" s="1006" t="s">
        <v>628</v>
      </c>
      <c r="B1332" s="1007"/>
      <c r="C1332" s="481"/>
      <c r="D1332" s="480">
        <f>SUM(D1327:D1331)</f>
        <v>9847355.4600000009</v>
      </c>
      <c r="E1332" s="677"/>
      <c r="F1332" s="677"/>
      <c r="G1332" s="693">
        <f>SUM(G1327:G1331)</f>
        <v>7857986.2200000007</v>
      </c>
      <c r="H1332" s="309"/>
      <c r="I1332" s="321"/>
      <c r="J1332" s="480">
        <f>SUM(J1327:J1331)</f>
        <v>3342355.46</v>
      </c>
      <c r="K1332" s="480">
        <f>SUM(K1327:K1331)</f>
        <v>4208570.46</v>
      </c>
      <c r="L1332" s="482"/>
      <c r="M1332" s="480"/>
      <c r="N1332" s="421">
        <f>AVERAGE(N1327:N1331)</f>
        <v>0.8</v>
      </c>
      <c r="O1332" s="713"/>
      <c r="P1332" s="176"/>
      <c r="Q1332" s="446"/>
      <c r="R1332" s="335"/>
      <c r="S1332" s="2"/>
      <c r="T1332" s="2"/>
      <c r="U1332" s="2"/>
      <c r="V1332" s="2"/>
    </row>
    <row r="1333" spans="1:22" s="10" customFormat="1" ht="33" x14ac:dyDescent="0.25">
      <c r="A1333" s="1069">
        <v>20</v>
      </c>
      <c r="B1333" s="1080" t="s">
        <v>568</v>
      </c>
      <c r="C1333" s="278" t="s">
        <v>500</v>
      </c>
      <c r="D1333" s="159">
        <v>4286391.3</v>
      </c>
      <c r="E1333" s="163" t="s">
        <v>1191</v>
      </c>
      <c r="F1333" s="275" t="s">
        <v>876</v>
      </c>
      <c r="G1333" s="208">
        <v>4286391.3</v>
      </c>
      <c r="H1333" s="210">
        <v>42729</v>
      </c>
      <c r="I1333" s="161">
        <v>42726</v>
      </c>
      <c r="J1333" s="162">
        <v>4202344.62</v>
      </c>
      <c r="K1333" s="162">
        <v>4202344.62</v>
      </c>
      <c r="L1333" s="198"/>
      <c r="M1333" s="199"/>
      <c r="N1333" s="376">
        <v>0</v>
      </c>
      <c r="O1333" s="699"/>
      <c r="P1333" s="176">
        <v>2017</v>
      </c>
      <c r="Q1333" s="446"/>
      <c r="R1333" s="676"/>
      <c r="S1333" s="9"/>
      <c r="T1333" s="9"/>
      <c r="U1333" s="9"/>
      <c r="V1333" s="9"/>
    </row>
    <row r="1334" spans="1:22" s="11" customFormat="1" ht="49.5" outlineLevel="1" x14ac:dyDescent="0.25">
      <c r="A1334" s="1070"/>
      <c r="B1334" s="1064"/>
      <c r="C1334" s="356" t="s">
        <v>37</v>
      </c>
      <c r="D1334" s="357">
        <v>71442.97</v>
      </c>
      <c r="E1334" s="361" t="s">
        <v>569</v>
      </c>
      <c r="F1334" s="358" t="s">
        <v>534</v>
      </c>
      <c r="G1334" s="359">
        <f>60544.88*1.18</f>
        <v>71442.958399999989</v>
      </c>
      <c r="H1334" s="360">
        <v>42459</v>
      </c>
      <c r="I1334" s="360">
        <v>42535</v>
      </c>
      <c r="J1334" s="361">
        <v>71442.97</v>
      </c>
      <c r="K1334" s="361">
        <v>71442.97</v>
      </c>
      <c r="L1334" s="360"/>
      <c r="M1334" s="361">
        <f>J1334-D1334</f>
        <v>0</v>
      </c>
      <c r="N1334" s="362"/>
      <c r="O1334" s="466" t="s">
        <v>907</v>
      </c>
      <c r="P1334" s="176"/>
      <c r="Q1334" s="446"/>
      <c r="R1334" s="335"/>
      <c r="S1334" s="2"/>
      <c r="T1334" s="2"/>
      <c r="U1334" s="2"/>
      <c r="V1334" s="2"/>
    </row>
    <row r="1335" spans="1:22" s="11" customFormat="1" ht="17.25" outlineLevel="1" thickBot="1" x14ac:dyDescent="0.3">
      <c r="A1335" s="1006" t="s">
        <v>628</v>
      </c>
      <c r="B1335" s="1007"/>
      <c r="C1335" s="691"/>
      <c r="D1335" s="480">
        <f>SUM(D1333:D1334)</f>
        <v>4357834.2699999996</v>
      </c>
      <c r="E1335" s="677"/>
      <c r="F1335" s="677"/>
      <c r="G1335" s="693">
        <f>SUM(G1333:G1334)</f>
        <v>4357834.2583999997</v>
      </c>
      <c r="H1335" s="309"/>
      <c r="I1335" s="321"/>
      <c r="J1335" s="480">
        <f t="shared" ref="J1335" si="116">SUM(J1333:J1334)</f>
        <v>4273787.59</v>
      </c>
      <c r="K1335" s="480">
        <f>SUM(K1333:K1334)</f>
        <v>4273787.59</v>
      </c>
      <c r="L1335" s="482"/>
      <c r="M1335" s="480"/>
      <c r="N1335" s="728">
        <f>AVERAGE(N1333:N1334)</f>
        <v>0</v>
      </c>
      <c r="O1335" s="694"/>
      <c r="P1335" s="176"/>
      <c r="Q1335" s="446"/>
      <c r="R1335" s="335"/>
      <c r="S1335" s="2"/>
      <c r="T1335" s="2"/>
      <c r="U1335" s="2"/>
      <c r="V1335" s="2"/>
    </row>
    <row r="1336" spans="1:22" s="8" customFormat="1" ht="19.5" customHeight="1" outlineLevel="1" x14ac:dyDescent="0.25">
      <c r="A1336" s="323"/>
      <c r="B1336" s="1040" t="s">
        <v>1097</v>
      </c>
      <c r="C1336" s="1041"/>
      <c r="D1336" s="324">
        <v>2841611.14</v>
      </c>
      <c r="E1336" s="325"/>
      <c r="F1336" s="326"/>
      <c r="G1336" s="327">
        <f>SUM(G1337:G1344)</f>
        <v>2841611.1400000006</v>
      </c>
      <c r="H1336" s="328"/>
      <c r="I1336" s="329"/>
      <c r="J1336" s="324"/>
      <c r="K1336" s="324"/>
      <c r="L1336" s="330"/>
      <c r="M1336" s="324"/>
      <c r="N1336" s="331"/>
      <c r="O1336" s="332"/>
      <c r="P1336" s="241"/>
      <c r="Q1336" s="412"/>
      <c r="R1336" s="335"/>
      <c r="S1336" s="2"/>
      <c r="T1336" s="2"/>
      <c r="U1336" s="2"/>
      <c r="V1336" s="2"/>
    </row>
    <row r="1337" spans="1:22" s="25" customFormat="1" ht="32.25" customHeight="1" outlineLevel="1" x14ac:dyDescent="0.25">
      <c r="A1337" s="336"/>
      <c r="B1337" s="336" t="s">
        <v>1443</v>
      </c>
      <c r="C1337" s="337" t="s">
        <v>37</v>
      </c>
      <c r="D1337" s="338"/>
      <c r="E1337" s="999" t="s">
        <v>1451</v>
      </c>
      <c r="F1337" s="1000" t="s">
        <v>1415</v>
      </c>
      <c r="G1337" s="339">
        <v>146821.72</v>
      </c>
      <c r="H1337" s="1133">
        <v>42806</v>
      </c>
      <c r="I1337" s="172"/>
      <c r="J1337" s="338"/>
      <c r="K1337" s="338"/>
      <c r="L1337" s="340"/>
      <c r="M1337" s="338"/>
      <c r="N1337" s="341"/>
      <c r="O1337" s="342"/>
      <c r="P1337" s="343"/>
      <c r="Q1337" s="173"/>
      <c r="R1337" s="335"/>
      <c r="S1337" s="2"/>
      <c r="T1337" s="2"/>
      <c r="U1337" s="2"/>
      <c r="V1337" s="2"/>
    </row>
    <row r="1338" spans="1:22" s="25" customFormat="1" ht="27" customHeight="1" outlineLevel="1" x14ac:dyDescent="0.25">
      <c r="A1338" s="336"/>
      <c r="B1338" s="336" t="s">
        <v>1444</v>
      </c>
      <c r="C1338" s="337" t="s">
        <v>37</v>
      </c>
      <c r="D1338" s="338"/>
      <c r="E1338" s="999"/>
      <c r="F1338" s="1000"/>
      <c r="G1338" s="339">
        <v>147132.16</v>
      </c>
      <c r="H1338" s="1133"/>
      <c r="I1338" s="172"/>
      <c r="J1338" s="338"/>
      <c r="K1338" s="338"/>
      <c r="L1338" s="340"/>
      <c r="M1338" s="338"/>
      <c r="N1338" s="341"/>
      <c r="O1338" s="342"/>
      <c r="P1338" s="343"/>
      <c r="Q1338" s="173"/>
      <c r="R1338" s="335"/>
      <c r="S1338" s="2"/>
      <c r="T1338" s="2"/>
      <c r="U1338" s="2"/>
      <c r="V1338" s="2"/>
    </row>
    <row r="1339" spans="1:22" s="25" customFormat="1" ht="28.5" customHeight="1" outlineLevel="1" x14ac:dyDescent="0.25">
      <c r="A1339" s="336"/>
      <c r="B1339" s="336" t="s">
        <v>1445</v>
      </c>
      <c r="C1339" s="337" t="s">
        <v>37</v>
      </c>
      <c r="D1339" s="338"/>
      <c r="E1339" s="999"/>
      <c r="F1339" s="1000"/>
      <c r="G1339" s="339">
        <v>346841.64</v>
      </c>
      <c r="H1339" s="1133"/>
      <c r="I1339" s="172"/>
      <c r="J1339" s="338"/>
      <c r="K1339" s="338"/>
      <c r="L1339" s="340"/>
      <c r="M1339" s="338"/>
      <c r="N1339" s="341"/>
      <c r="O1339" s="342"/>
      <c r="P1339" s="343"/>
      <c r="Q1339" s="173"/>
      <c r="R1339" s="335"/>
      <c r="S1339" s="2"/>
      <c r="T1339" s="2"/>
      <c r="U1339" s="2"/>
      <c r="V1339" s="2"/>
    </row>
    <row r="1340" spans="1:22" s="25" customFormat="1" ht="27.75" customHeight="1" outlineLevel="1" x14ac:dyDescent="0.25">
      <c r="A1340" s="336"/>
      <c r="B1340" s="336" t="s">
        <v>1446</v>
      </c>
      <c r="C1340" s="337" t="s">
        <v>37</v>
      </c>
      <c r="D1340" s="338"/>
      <c r="E1340" s="999"/>
      <c r="F1340" s="1000"/>
      <c r="G1340" s="339">
        <v>344769.54</v>
      </c>
      <c r="H1340" s="1133"/>
      <c r="I1340" s="172"/>
      <c r="J1340" s="338"/>
      <c r="K1340" s="338"/>
      <c r="L1340" s="340"/>
      <c r="M1340" s="338"/>
      <c r="N1340" s="341"/>
      <c r="O1340" s="342"/>
      <c r="P1340" s="343"/>
      <c r="Q1340" s="173"/>
      <c r="R1340" s="335"/>
      <c r="S1340" s="2"/>
      <c r="T1340" s="2"/>
      <c r="U1340" s="2"/>
      <c r="V1340" s="2"/>
    </row>
    <row r="1341" spans="1:22" s="25" customFormat="1" ht="30" customHeight="1" outlineLevel="1" x14ac:dyDescent="0.25">
      <c r="A1341" s="336"/>
      <c r="B1341" s="336" t="s">
        <v>1447</v>
      </c>
      <c r="C1341" s="337" t="s">
        <v>37</v>
      </c>
      <c r="D1341" s="338"/>
      <c r="E1341" s="999"/>
      <c r="F1341" s="1000"/>
      <c r="G1341" s="339">
        <v>154895.82999999999</v>
      </c>
      <c r="H1341" s="1133"/>
      <c r="I1341" s="172"/>
      <c r="J1341" s="338"/>
      <c r="K1341" s="338"/>
      <c r="L1341" s="340"/>
      <c r="M1341" s="338"/>
      <c r="N1341" s="341"/>
      <c r="O1341" s="342"/>
      <c r="P1341" s="343"/>
      <c r="Q1341" s="173"/>
      <c r="R1341" s="335"/>
      <c r="S1341" s="2"/>
      <c r="T1341" s="2"/>
      <c r="U1341" s="2"/>
      <c r="V1341" s="2"/>
    </row>
    <row r="1342" spans="1:22" s="25" customFormat="1" ht="28.5" customHeight="1" outlineLevel="1" x14ac:dyDescent="0.25">
      <c r="A1342" s="336"/>
      <c r="B1342" s="336" t="s">
        <v>1448</v>
      </c>
      <c r="C1342" s="337" t="s">
        <v>37</v>
      </c>
      <c r="D1342" s="338"/>
      <c r="E1342" s="999"/>
      <c r="F1342" s="1000"/>
      <c r="G1342" s="339">
        <v>789352.28</v>
      </c>
      <c r="H1342" s="1133"/>
      <c r="I1342" s="172"/>
      <c r="J1342" s="338"/>
      <c r="K1342" s="338"/>
      <c r="L1342" s="340"/>
      <c r="M1342" s="338"/>
      <c r="N1342" s="341"/>
      <c r="O1342" s="342"/>
      <c r="P1342" s="343"/>
      <c r="Q1342" s="173"/>
      <c r="R1342" s="335"/>
      <c r="S1342" s="2"/>
      <c r="T1342" s="2"/>
      <c r="U1342" s="2"/>
      <c r="V1342" s="2"/>
    </row>
    <row r="1343" spans="1:22" s="25" customFormat="1" ht="29.25" customHeight="1" outlineLevel="1" x14ac:dyDescent="0.25">
      <c r="A1343" s="336"/>
      <c r="B1343" s="336" t="s">
        <v>1449</v>
      </c>
      <c r="C1343" s="337" t="s">
        <v>37</v>
      </c>
      <c r="D1343" s="338"/>
      <c r="E1343" s="999"/>
      <c r="F1343" s="1000"/>
      <c r="G1343" s="339">
        <v>418137.19</v>
      </c>
      <c r="H1343" s="1133"/>
      <c r="I1343" s="172"/>
      <c r="J1343" s="338"/>
      <c r="K1343" s="338"/>
      <c r="L1343" s="340"/>
      <c r="M1343" s="338"/>
      <c r="N1343" s="341"/>
      <c r="O1343" s="342"/>
      <c r="P1343" s="343"/>
      <c r="Q1343" s="173"/>
      <c r="R1343" s="335"/>
      <c r="S1343" s="2"/>
      <c r="T1343" s="2"/>
      <c r="U1343" s="2"/>
      <c r="V1343" s="2"/>
    </row>
    <row r="1344" spans="1:22" s="25" customFormat="1" ht="28.5" customHeight="1" outlineLevel="1" x14ac:dyDescent="0.25">
      <c r="A1344" s="336"/>
      <c r="B1344" s="336" t="s">
        <v>1450</v>
      </c>
      <c r="C1344" s="337" t="s">
        <v>37</v>
      </c>
      <c r="D1344" s="338"/>
      <c r="E1344" s="999"/>
      <c r="F1344" s="1000"/>
      <c r="G1344" s="339">
        <v>493660.78</v>
      </c>
      <c r="H1344" s="1133"/>
      <c r="I1344" s="172"/>
      <c r="J1344" s="338"/>
      <c r="K1344" s="338"/>
      <c r="L1344" s="340"/>
      <c r="M1344" s="338"/>
      <c r="N1344" s="341"/>
      <c r="O1344" s="342"/>
      <c r="P1344" s="343"/>
      <c r="Q1344" s="173"/>
      <c r="R1344" s="335"/>
      <c r="S1344" s="2"/>
      <c r="T1344" s="2"/>
      <c r="U1344" s="2"/>
      <c r="V1344" s="2"/>
    </row>
    <row r="1345" spans="1:22" s="11" customFormat="1" ht="17.25" outlineLevel="1" thickBot="1" x14ac:dyDescent="0.3">
      <c r="A1345" s="1134" t="s">
        <v>629</v>
      </c>
      <c r="B1345" s="1135"/>
      <c r="C1345" s="720"/>
      <c r="D1345" s="721">
        <f>SUM(D1335,D1332,D1326,D1320,D1313,D1310,D1307,D1304,D1302,D1299,D1296,D1293,D1288,D1285,D1282,D1279,D1276,D1272,D1265,D1262,D1336)</f>
        <v>171727093.32679996</v>
      </c>
      <c r="E1345" s="723"/>
      <c r="F1345" s="723"/>
      <c r="G1345" s="724">
        <f>SUM(G1335,G1332,G1326,G1320,G1313,G1310,G1307,G1304,G1302,G1299,G1296,G1293,G1288,G1285,G1282,G1279,G1276,G1272,G1265,G1262,G1336)</f>
        <v>162578192.70600003</v>
      </c>
      <c r="H1345" s="688"/>
      <c r="I1345" s="615"/>
      <c r="J1345" s="721">
        <f>SUM(J1335,J1332,J1326,J1320,J1313,J1310,J1307,J1304,J1302,J1299,J1296,J1293,J1288,J1285,J1282,J1279,J1276,J1272,J1265,J1262)</f>
        <v>109541038.13</v>
      </c>
      <c r="K1345" s="721">
        <f>SUM(K1335,K1332,K1326,K1320,K1313,K1310,K1307,K1304,K1302,K1299,K1296,K1293,K1288,K1285,K1282,K1279,K1276,K1272,K1265,K1262)</f>
        <v>110407253.13</v>
      </c>
      <c r="L1345" s="741"/>
      <c r="M1345" s="742"/>
      <c r="N1345" s="743">
        <f>AVERAGE(N1335,N1332,N1326,N1320,N1313,N1310,N1307,N1304,N1302,N1299,N1296,N1293,N1288,N1285,N1282,N1279,N1276,N1272,N1265,N1262)</f>
        <v>0.68125000000000002</v>
      </c>
      <c r="O1345" s="744"/>
      <c r="P1345" s="343"/>
      <c r="Q1345" s="173"/>
      <c r="R1345" s="335"/>
      <c r="S1345" s="2"/>
      <c r="T1345" s="2"/>
      <c r="U1345" s="2"/>
      <c r="V1345" s="2"/>
    </row>
    <row r="1346" spans="1:22" s="10" customFormat="1" ht="30" customHeight="1" thickBot="1" x14ac:dyDescent="0.3">
      <c r="A1346" s="1099" t="s">
        <v>646</v>
      </c>
      <c r="B1346" s="1100"/>
      <c r="C1346" s="1100"/>
      <c r="D1346" s="1100"/>
      <c r="E1346" s="1100"/>
      <c r="F1346" s="1100"/>
      <c r="G1346" s="1100"/>
      <c r="H1346" s="1100"/>
      <c r="I1346" s="1100"/>
      <c r="J1346" s="1100"/>
      <c r="K1346" s="1100"/>
      <c r="L1346" s="1096"/>
      <c r="M1346" s="1096"/>
      <c r="N1346" s="1096"/>
      <c r="O1346" s="1096"/>
      <c r="P1346" s="245"/>
      <c r="Q1346" s="745"/>
      <c r="R1346" s="676"/>
      <c r="S1346" s="9"/>
      <c r="T1346" s="9"/>
      <c r="U1346" s="9"/>
      <c r="V1346" s="9"/>
    </row>
    <row r="1347" spans="1:22" s="5" customFormat="1" ht="33" x14ac:dyDescent="0.25">
      <c r="A1347" s="1027">
        <v>1</v>
      </c>
      <c r="B1347" s="1025" t="s">
        <v>295</v>
      </c>
      <c r="C1347" s="197" t="s">
        <v>500</v>
      </c>
      <c r="D1347" s="162">
        <v>2660095.58</v>
      </c>
      <c r="E1347" s="197" t="s">
        <v>929</v>
      </c>
      <c r="F1347" s="197" t="s">
        <v>930</v>
      </c>
      <c r="G1347" s="353">
        <v>2914525</v>
      </c>
      <c r="H1347" s="161">
        <v>42590</v>
      </c>
      <c r="I1347" s="161">
        <v>42628</v>
      </c>
      <c r="J1347" s="162">
        <v>2660095.58</v>
      </c>
      <c r="K1347" s="162">
        <v>2660095.58</v>
      </c>
      <c r="L1347" s="161"/>
      <c r="M1347" s="162"/>
      <c r="N1347" s="200">
        <v>1</v>
      </c>
      <c r="O1347" s="370"/>
      <c r="P1347" s="176"/>
      <c r="Q1347" s="177"/>
      <c r="R1347" s="168"/>
      <c r="S1347" s="19"/>
      <c r="T1347" s="19"/>
      <c r="U1347" s="19"/>
      <c r="V1347" s="19"/>
    </row>
    <row r="1348" spans="1:22" ht="49.5" outlineLevel="1" x14ac:dyDescent="0.25">
      <c r="A1348" s="1028"/>
      <c r="B1348" s="1026"/>
      <c r="C1348" s="356" t="s">
        <v>37</v>
      </c>
      <c r="D1348" s="357">
        <v>75197.820000000007</v>
      </c>
      <c r="E1348" s="361" t="s">
        <v>575</v>
      </c>
      <c r="F1348" s="358" t="s">
        <v>541</v>
      </c>
      <c r="G1348" s="359">
        <v>75197.81</v>
      </c>
      <c r="H1348" s="360">
        <v>42429</v>
      </c>
      <c r="I1348" s="360">
        <v>42593</v>
      </c>
      <c r="J1348" s="361">
        <v>75197.81</v>
      </c>
      <c r="K1348" s="361">
        <v>75197.81</v>
      </c>
      <c r="L1348" s="360"/>
      <c r="M1348" s="361">
        <f>J1348-D1348</f>
        <v>-1.0000000009313226E-2</v>
      </c>
      <c r="N1348" s="362"/>
      <c r="O1348" s="466" t="s">
        <v>728</v>
      </c>
      <c r="P1348" s="176"/>
      <c r="Q1348" s="177"/>
      <c r="R1348" s="132"/>
    </row>
    <row r="1349" spans="1:22" ht="17.25" outlineLevel="1" thickBot="1" x14ac:dyDescent="0.3">
      <c r="A1349" s="1006" t="s">
        <v>628</v>
      </c>
      <c r="B1349" s="1007"/>
      <c r="C1349" s="364"/>
      <c r="D1349" s="365">
        <f>SUM(D1347:D1348)</f>
        <v>2735293.4</v>
      </c>
      <c r="E1349" s="239"/>
      <c r="F1349" s="239"/>
      <c r="G1349" s="366">
        <f>SUM(G1347:G1348)</f>
        <v>2989722.81</v>
      </c>
      <c r="H1349" s="239"/>
      <c r="I1349" s="321"/>
      <c r="J1349" s="365">
        <f t="shared" ref="J1349" si="117">SUM(J1347:J1348)</f>
        <v>2735293.39</v>
      </c>
      <c r="K1349" s="365">
        <f>SUM(K1347:K1348)</f>
        <v>2735293.39</v>
      </c>
      <c r="L1349" s="367"/>
      <c r="M1349" s="365"/>
      <c r="N1349" s="368">
        <f>AVERAGE(N1347:N1348)</f>
        <v>1</v>
      </c>
      <c r="O1349" s="369"/>
      <c r="P1349" s="176"/>
      <c r="Q1349" s="177"/>
      <c r="R1349" s="132"/>
    </row>
    <row r="1350" spans="1:22" s="5" customFormat="1" ht="33" x14ac:dyDescent="0.25">
      <c r="A1350" s="1027">
        <v>2</v>
      </c>
      <c r="B1350" s="1025" t="s">
        <v>296</v>
      </c>
      <c r="C1350" s="197" t="s">
        <v>500</v>
      </c>
      <c r="D1350" s="162">
        <v>3502291</v>
      </c>
      <c r="E1350" s="197" t="s">
        <v>929</v>
      </c>
      <c r="F1350" s="197" t="s">
        <v>930</v>
      </c>
      <c r="G1350" s="353">
        <v>3502291</v>
      </c>
      <c r="H1350" s="161">
        <v>42640</v>
      </c>
      <c r="I1350" s="161">
        <v>42662</v>
      </c>
      <c r="J1350" s="162">
        <v>3378883.98</v>
      </c>
      <c r="K1350" s="162">
        <v>3378883.98</v>
      </c>
      <c r="L1350" s="161">
        <v>42703</v>
      </c>
      <c r="M1350" s="162"/>
      <c r="N1350" s="200">
        <v>1</v>
      </c>
      <c r="O1350" s="370"/>
      <c r="P1350" s="176"/>
      <c r="Q1350" s="201" t="s">
        <v>1114</v>
      </c>
      <c r="R1350" s="168"/>
      <c r="S1350" s="19"/>
      <c r="T1350" s="19"/>
      <c r="U1350" s="19"/>
      <c r="V1350" s="19"/>
    </row>
    <row r="1351" spans="1:22" ht="49.5" outlineLevel="1" x14ac:dyDescent="0.25">
      <c r="A1351" s="1028"/>
      <c r="B1351" s="1026"/>
      <c r="C1351" s="356" t="s">
        <v>37</v>
      </c>
      <c r="D1351" s="357">
        <v>100954.42</v>
      </c>
      <c r="E1351" s="361" t="s">
        <v>575</v>
      </c>
      <c r="F1351" s="358" t="s">
        <v>541</v>
      </c>
      <c r="G1351" s="359">
        <v>100954.42</v>
      </c>
      <c r="H1351" s="360">
        <v>42429</v>
      </c>
      <c r="I1351" s="360">
        <v>42593</v>
      </c>
      <c r="J1351" s="361">
        <v>100954.42</v>
      </c>
      <c r="K1351" s="361">
        <v>100954.42</v>
      </c>
      <c r="L1351" s="360"/>
      <c r="M1351" s="361">
        <f>J1351-D1351</f>
        <v>0</v>
      </c>
      <c r="N1351" s="362"/>
      <c r="O1351" s="466" t="s">
        <v>728</v>
      </c>
      <c r="P1351" s="176"/>
      <c r="Q1351" s="177"/>
      <c r="R1351" s="132"/>
    </row>
    <row r="1352" spans="1:22" ht="17.25" outlineLevel="1" thickBot="1" x14ac:dyDescent="0.3">
      <c r="A1352" s="1006" t="s">
        <v>628</v>
      </c>
      <c r="B1352" s="1007"/>
      <c r="C1352" s="364"/>
      <c r="D1352" s="365">
        <f>SUM(D1350:D1351)</f>
        <v>3603245.42</v>
      </c>
      <c r="E1352" s="239"/>
      <c r="F1352" s="239"/>
      <c r="G1352" s="366">
        <f>SUM(G1350:G1351)</f>
        <v>3603245.42</v>
      </c>
      <c r="H1352" s="239"/>
      <c r="I1352" s="321"/>
      <c r="J1352" s="365">
        <f t="shared" ref="J1352" si="118">SUM(J1350:J1351)</f>
        <v>3479838.4</v>
      </c>
      <c r="K1352" s="365">
        <f>SUM(K1350:K1351)</f>
        <v>3479838.4</v>
      </c>
      <c r="L1352" s="367"/>
      <c r="M1352" s="365"/>
      <c r="N1352" s="368">
        <f>AVERAGE(N1350:N1351)</f>
        <v>1</v>
      </c>
      <c r="O1352" s="369"/>
      <c r="P1352" s="176"/>
      <c r="Q1352" s="177"/>
      <c r="R1352" s="132"/>
    </row>
    <row r="1353" spans="1:22" s="5" customFormat="1" ht="33" x14ac:dyDescent="0.25">
      <c r="A1353" s="1027">
        <v>3</v>
      </c>
      <c r="B1353" s="1025" t="s">
        <v>297</v>
      </c>
      <c r="C1353" s="197" t="s">
        <v>500</v>
      </c>
      <c r="D1353" s="162">
        <v>3115037.22</v>
      </c>
      <c r="E1353" s="197" t="s">
        <v>929</v>
      </c>
      <c r="F1353" s="197" t="s">
        <v>930</v>
      </c>
      <c r="G1353" s="353">
        <v>3626972</v>
      </c>
      <c r="H1353" s="161">
        <v>42590</v>
      </c>
      <c r="I1353" s="161">
        <v>42628</v>
      </c>
      <c r="J1353" s="162">
        <v>3115037.22</v>
      </c>
      <c r="K1353" s="162">
        <v>3115037.22</v>
      </c>
      <c r="L1353" s="161"/>
      <c r="M1353" s="162"/>
      <c r="N1353" s="200">
        <v>1</v>
      </c>
      <c r="O1353" s="370"/>
      <c r="P1353" s="176"/>
      <c r="Q1353" s="177"/>
      <c r="R1353" s="168"/>
      <c r="S1353" s="19"/>
      <c r="T1353" s="19"/>
      <c r="U1353" s="19"/>
      <c r="V1353" s="19"/>
    </row>
    <row r="1354" spans="1:22" ht="49.5" outlineLevel="1" x14ac:dyDescent="0.25">
      <c r="A1354" s="1028"/>
      <c r="B1354" s="1026"/>
      <c r="C1354" s="356" t="s">
        <v>37</v>
      </c>
      <c r="D1354" s="357">
        <v>58254.99</v>
      </c>
      <c r="E1354" s="361" t="s">
        <v>575</v>
      </c>
      <c r="F1354" s="358" t="s">
        <v>541</v>
      </c>
      <c r="G1354" s="359">
        <v>58254.98</v>
      </c>
      <c r="H1354" s="360">
        <v>42429</v>
      </c>
      <c r="I1354" s="360">
        <v>42593</v>
      </c>
      <c r="J1354" s="361">
        <v>58254.98000000001</v>
      </c>
      <c r="K1354" s="361">
        <v>58254.98000000001</v>
      </c>
      <c r="L1354" s="360"/>
      <c r="M1354" s="361">
        <f>J1354-D1354</f>
        <v>-9.9999999874853529E-3</v>
      </c>
      <c r="N1354" s="362"/>
      <c r="O1354" s="466" t="s">
        <v>728</v>
      </c>
      <c r="P1354" s="176"/>
      <c r="Q1354" s="177"/>
      <c r="R1354" s="132"/>
    </row>
    <row r="1355" spans="1:22" ht="17.25" outlineLevel="1" thickBot="1" x14ac:dyDescent="0.3">
      <c r="A1355" s="1006" t="s">
        <v>628</v>
      </c>
      <c r="B1355" s="1007"/>
      <c r="C1355" s="364"/>
      <c r="D1355" s="365">
        <f>SUM(D1353:D1354)</f>
        <v>3173292.2100000004</v>
      </c>
      <c r="E1355" s="239"/>
      <c r="F1355" s="239"/>
      <c r="G1355" s="366">
        <f>SUM(G1353:G1354)</f>
        <v>3685226.98</v>
      </c>
      <c r="H1355" s="239"/>
      <c r="I1355" s="321"/>
      <c r="J1355" s="365">
        <f t="shared" ref="J1355" si="119">SUM(J1353:J1354)</f>
        <v>3173292.2</v>
      </c>
      <c r="K1355" s="365">
        <f>SUM(K1353:K1354)</f>
        <v>3173292.2</v>
      </c>
      <c r="L1355" s="367"/>
      <c r="M1355" s="365"/>
      <c r="N1355" s="368">
        <f>AVERAGE(N1353:N1354)</f>
        <v>1</v>
      </c>
      <c r="O1355" s="369"/>
      <c r="P1355" s="176"/>
      <c r="Q1355" s="177"/>
      <c r="R1355" s="132"/>
    </row>
    <row r="1356" spans="1:22" s="5" customFormat="1" ht="33" x14ac:dyDescent="0.25">
      <c r="A1356" s="1027">
        <v>4</v>
      </c>
      <c r="B1356" s="1025" t="s">
        <v>298</v>
      </c>
      <c r="C1356" s="197" t="s">
        <v>500</v>
      </c>
      <c r="D1356" s="162">
        <v>3736938</v>
      </c>
      <c r="E1356" s="197" t="s">
        <v>929</v>
      </c>
      <c r="F1356" s="197" t="s">
        <v>930</v>
      </c>
      <c r="G1356" s="353">
        <v>3736938</v>
      </c>
      <c r="H1356" s="161">
        <v>42590</v>
      </c>
      <c r="I1356" s="161">
        <v>42662</v>
      </c>
      <c r="J1356" s="162">
        <v>3325243.54</v>
      </c>
      <c r="K1356" s="162">
        <v>3325243.54</v>
      </c>
      <c r="L1356" s="161">
        <v>42703</v>
      </c>
      <c r="M1356" s="162"/>
      <c r="N1356" s="200">
        <v>1</v>
      </c>
      <c r="O1356" s="370"/>
      <c r="P1356" s="176"/>
      <c r="Q1356" s="201" t="s">
        <v>1114</v>
      </c>
      <c r="R1356" s="168"/>
      <c r="S1356" s="19"/>
      <c r="T1356" s="19"/>
      <c r="U1356" s="19"/>
      <c r="V1356" s="19"/>
    </row>
    <row r="1357" spans="1:22" ht="49.5" outlineLevel="1" x14ac:dyDescent="0.25">
      <c r="A1357" s="1028"/>
      <c r="B1357" s="1026"/>
      <c r="C1357" s="356" t="s">
        <v>37</v>
      </c>
      <c r="D1357" s="357">
        <v>66376.800000000003</v>
      </c>
      <c r="E1357" s="361" t="s">
        <v>575</v>
      </c>
      <c r="F1357" s="358" t="s">
        <v>541</v>
      </c>
      <c r="G1357" s="359">
        <v>66376.800000000003</v>
      </c>
      <c r="H1357" s="360">
        <v>42429</v>
      </c>
      <c r="I1357" s="360">
        <v>42593</v>
      </c>
      <c r="J1357" s="361">
        <v>66376.800000000003</v>
      </c>
      <c r="K1357" s="361">
        <v>66376.800000000003</v>
      </c>
      <c r="L1357" s="360"/>
      <c r="M1357" s="361">
        <f>J1357-D1357</f>
        <v>0</v>
      </c>
      <c r="N1357" s="362"/>
      <c r="O1357" s="466" t="s">
        <v>728</v>
      </c>
      <c r="P1357" s="176"/>
      <c r="Q1357" s="177"/>
      <c r="R1357" s="132"/>
    </row>
    <row r="1358" spans="1:22" ht="17.25" outlineLevel="1" thickBot="1" x14ac:dyDescent="0.3">
      <c r="A1358" s="1006" t="s">
        <v>628</v>
      </c>
      <c r="B1358" s="1007"/>
      <c r="C1358" s="364"/>
      <c r="D1358" s="365">
        <f>SUM(D1356:D1357)</f>
        <v>3803314.8</v>
      </c>
      <c r="E1358" s="239"/>
      <c r="F1358" s="239"/>
      <c r="G1358" s="366">
        <f>SUM(G1356:G1357)</f>
        <v>3803314.8</v>
      </c>
      <c r="H1358" s="239"/>
      <c r="I1358" s="321"/>
      <c r="J1358" s="365">
        <f t="shared" ref="J1358" si="120">SUM(J1356:J1357)</f>
        <v>3391620.34</v>
      </c>
      <c r="K1358" s="365">
        <f>SUM(K1356:K1357)</f>
        <v>3391620.34</v>
      </c>
      <c r="L1358" s="367"/>
      <c r="M1358" s="365"/>
      <c r="N1358" s="368">
        <f>AVERAGE(N1356:N1357)</f>
        <v>1</v>
      </c>
      <c r="O1358" s="369"/>
      <c r="P1358" s="176"/>
      <c r="Q1358" s="177"/>
      <c r="R1358" s="132"/>
    </row>
    <row r="1359" spans="1:22" s="5" customFormat="1" ht="33" x14ac:dyDescent="0.25">
      <c r="A1359" s="1027">
        <v>5</v>
      </c>
      <c r="B1359" s="1025" t="s">
        <v>299</v>
      </c>
      <c r="C1359" s="197" t="s">
        <v>500</v>
      </c>
      <c r="D1359" s="162">
        <v>6092220.8200000003</v>
      </c>
      <c r="E1359" s="197" t="s">
        <v>1005</v>
      </c>
      <c r="F1359" s="197" t="s">
        <v>1006</v>
      </c>
      <c r="G1359" s="353">
        <v>6300000</v>
      </c>
      <c r="H1359" s="161">
        <v>42634</v>
      </c>
      <c r="I1359" s="161">
        <v>42650</v>
      </c>
      <c r="J1359" s="162">
        <v>6092220.8200000003</v>
      </c>
      <c r="K1359" s="162">
        <v>6092220.8200000003</v>
      </c>
      <c r="L1359" s="198"/>
      <c r="M1359" s="199"/>
      <c r="N1359" s="200">
        <v>1</v>
      </c>
      <c r="O1359" s="370"/>
      <c r="P1359" s="176"/>
      <c r="Q1359" s="201" t="s">
        <v>1121</v>
      </c>
      <c r="R1359" s="168"/>
      <c r="S1359" s="19"/>
      <c r="T1359" s="19"/>
      <c r="U1359" s="19"/>
      <c r="V1359" s="19"/>
    </row>
    <row r="1360" spans="1:22" ht="49.5" outlineLevel="1" x14ac:dyDescent="0.25">
      <c r="A1360" s="1028"/>
      <c r="B1360" s="1026"/>
      <c r="C1360" s="356" t="s">
        <v>37</v>
      </c>
      <c r="D1360" s="357">
        <v>103838.17</v>
      </c>
      <c r="E1360" s="361" t="s">
        <v>575</v>
      </c>
      <c r="F1360" s="358" t="s">
        <v>541</v>
      </c>
      <c r="G1360" s="359">
        <v>103838.2</v>
      </c>
      <c r="H1360" s="360">
        <v>42429</v>
      </c>
      <c r="I1360" s="360">
        <v>42593</v>
      </c>
      <c r="J1360" s="361">
        <v>103838.2</v>
      </c>
      <c r="K1360" s="361">
        <v>103838.2</v>
      </c>
      <c r="L1360" s="360"/>
      <c r="M1360" s="361">
        <f>J1360-D1360</f>
        <v>2.9999999998835847E-2</v>
      </c>
      <c r="N1360" s="362"/>
      <c r="O1360" s="466" t="s">
        <v>728</v>
      </c>
      <c r="P1360" s="176"/>
      <c r="Q1360" s="177"/>
      <c r="R1360" s="132"/>
    </row>
    <row r="1361" spans="1:22" ht="17.25" outlineLevel="1" thickBot="1" x14ac:dyDescent="0.3">
      <c r="A1361" s="1010" t="s">
        <v>628</v>
      </c>
      <c r="B1361" s="1011"/>
      <c r="C1361" s="377"/>
      <c r="D1361" s="365">
        <f>SUM(D1359:D1360)</f>
        <v>6196058.9900000002</v>
      </c>
      <c r="E1361" s="239"/>
      <c r="F1361" s="247"/>
      <c r="G1361" s="366">
        <f>SUM(G1359:G1360)</f>
        <v>6403838.2000000002</v>
      </c>
      <c r="H1361" s="247"/>
      <c r="I1361" s="277"/>
      <c r="J1361" s="365">
        <f t="shared" ref="J1361" si="121">SUM(J1359:J1360)</f>
        <v>6196059.0200000005</v>
      </c>
      <c r="K1361" s="365">
        <f>SUM(K1359:K1360)</f>
        <v>6196059.0200000005</v>
      </c>
      <c r="L1361" s="367"/>
      <c r="M1361" s="365"/>
      <c r="N1361" s="368">
        <f>AVERAGE(N1359:N1360)</f>
        <v>1</v>
      </c>
      <c r="O1361" s="369"/>
      <c r="P1361" s="176"/>
      <c r="Q1361" s="177"/>
      <c r="R1361" s="132"/>
    </row>
    <row r="1362" spans="1:22" s="5" customFormat="1" ht="49.5" x14ac:dyDescent="0.25">
      <c r="A1362" s="1027">
        <v>6</v>
      </c>
      <c r="B1362" s="1025" t="s">
        <v>300</v>
      </c>
      <c r="C1362" s="197" t="s">
        <v>38</v>
      </c>
      <c r="D1362" s="487">
        <v>2150000</v>
      </c>
      <c r="E1362" s="479" t="s">
        <v>962</v>
      </c>
      <c r="F1362" s="509" t="s">
        <v>830</v>
      </c>
      <c r="G1362" s="519">
        <v>1906423.34</v>
      </c>
      <c r="H1362" s="206">
        <v>42591</v>
      </c>
      <c r="I1362" s="746"/>
      <c r="J1362" s="199"/>
      <c r="K1362" s="199"/>
      <c r="L1362" s="747"/>
      <c r="M1362" s="748"/>
      <c r="N1362" s="749">
        <v>1</v>
      </c>
      <c r="O1362" s="750"/>
      <c r="P1362" s="176"/>
      <c r="Q1362" s="280" t="s">
        <v>1118</v>
      </c>
      <c r="R1362" s="168"/>
      <c r="S1362" s="19"/>
      <c r="T1362" s="19"/>
      <c r="U1362" s="19"/>
      <c r="V1362" s="19"/>
    </row>
    <row r="1363" spans="1:22" ht="49.5" outlineLevel="1" x14ac:dyDescent="0.25">
      <c r="A1363" s="1028"/>
      <c r="B1363" s="1026"/>
      <c r="C1363" s="253" t="s">
        <v>34</v>
      </c>
      <c r="D1363" s="163">
        <v>8030000</v>
      </c>
      <c r="E1363" s="253" t="s">
        <v>962</v>
      </c>
      <c r="F1363" s="253" t="s">
        <v>830</v>
      </c>
      <c r="G1363" s="163">
        <v>7020558.6799999997</v>
      </c>
      <c r="H1363" s="210">
        <v>42591</v>
      </c>
      <c r="I1363" s="210">
        <v>42731</v>
      </c>
      <c r="J1363" s="163"/>
      <c r="K1363" s="163"/>
      <c r="L1363" s="210"/>
      <c r="M1363" s="163"/>
      <c r="N1363" s="213">
        <v>1</v>
      </c>
      <c r="O1363" s="531"/>
      <c r="P1363" s="176"/>
      <c r="Q1363" s="280" t="s">
        <v>1118</v>
      </c>
      <c r="R1363" s="132"/>
    </row>
    <row r="1364" spans="1:22" ht="49.5" outlineLevel="1" x14ac:dyDescent="0.25">
      <c r="A1364" s="1028"/>
      <c r="B1364" s="1026"/>
      <c r="C1364" s="253" t="s">
        <v>35</v>
      </c>
      <c r="D1364" s="163">
        <v>1872000</v>
      </c>
      <c r="E1364" s="253" t="s">
        <v>962</v>
      </c>
      <c r="F1364" s="253" t="s">
        <v>830</v>
      </c>
      <c r="G1364" s="163">
        <v>1278027.32</v>
      </c>
      <c r="H1364" s="210">
        <v>42591</v>
      </c>
      <c r="I1364" s="751"/>
      <c r="J1364" s="163"/>
      <c r="K1364" s="163"/>
      <c r="L1364" s="210"/>
      <c r="M1364" s="163"/>
      <c r="N1364" s="213">
        <v>1</v>
      </c>
      <c r="O1364" s="531"/>
      <c r="P1364" s="176"/>
      <c r="Q1364" s="280" t="s">
        <v>1118</v>
      </c>
      <c r="R1364" s="132"/>
    </row>
    <row r="1365" spans="1:22" ht="33" outlineLevel="1" x14ac:dyDescent="0.25">
      <c r="A1365" s="1028"/>
      <c r="B1365" s="1026"/>
      <c r="C1365" s="337" t="s">
        <v>36</v>
      </c>
      <c r="D1365" s="432">
        <v>1238000</v>
      </c>
      <c r="E1365" s="400" t="s">
        <v>962</v>
      </c>
      <c r="F1365" s="373" t="s">
        <v>830</v>
      </c>
      <c r="G1365" s="374">
        <v>1038532.16</v>
      </c>
      <c r="H1365" s="179">
        <v>42591</v>
      </c>
      <c r="I1365" s="402"/>
      <c r="J1365" s="173"/>
      <c r="K1365" s="173"/>
      <c r="L1365" s="171"/>
      <c r="M1365" s="173"/>
      <c r="N1365" s="460">
        <v>0.6</v>
      </c>
      <c r="O1365" s="301"/>
      <c r="P1365" s="176"/>
      <c r="Q1365" s="201" t="s">
        <v>1114</v>
      </c>
      <c r="R1365" s="132"/>
    </row>
    <row r="1366" spans="1:22" ht="33" outlineLevel="1" x14ac:dyDescent="0.25">
      <c r="A1366" s="1028"/>
      <c r="B1366" s="1026"/>
      <c r="C1366" s="253" t="s">
        <v>501</v>
      </c>
      <c r="D1366" s="163">
        <v>8646000</v>
      </c>
      <c r="E1366" s="163" t="s">
        <v>1171</v>
      </c>
      <c r="F1366" s="253" t="s">
        <v>847</v>
      </c>
      <c r="G1366" s="354">
        <v>8646000</v>
      </c>
      <c r="H1366" s="210">
        <v>42699</v>
      </c>
      <c r="I1366" s="210">
        <v>42685</v>
      </c>
      <c r="J1366" s="163">
        <v>6341250.1500000004</v>
      </c>
      <c r="K1366" s="163">
        <v>6341250.1500000004</v>
      </c>
      <c r="L1366" s="210">
        <v>42716</v>
      </c>
      <c r="M1366" s="163"/>
      <c r="N1366" s="213">
        <v>1</v>
      </c>
      <c r="O1366" s="531"/>
      <c r="P1366" s="176">
        <v>2017</v>
      </c>
      <c r="Q1366" s="177"/>
      <c r="R1366" s="132"/>
    </row>
    <row r="1367" spans="1:22" ht="49.5" outlineLevel="1" x14ac:dyDescent="0.25">
      <c r="A1367" s="1028"/>
      <c r="B1367" s="1026"/>
      <c r="C1367" s="294" t="s">
        <v>37</v>
      </c>
      <c r="D1367" s="180">
        <v>484675.07</v>
      </c>
      <c r="E1367" s="184" t="s">
        <v>572</v>
      </c>
      <c r="F1367" s="181" t="s">
        <v>541</v>
      </c>
      <c r="G1367" s="182">
        <v>484675.07</v>
      </c>
      <c r="H1367" s="183">
        <v>42377</v>
      </c>
      <c r="I1367" s="183">
        <v>42377</v>
      </c>
      <c r="J1367" s="184">
        <v>484675.06999999995</v>
      </c>
      <c r="K1367" s="184">
        <v>484675.06999999995</v>
      </c>
      <c r="L1367" s="183"/>
      <c r="M1367" s="184">
        <f>J1367-D1367</f>
        <v>0</v>
      </c>
      <c r="N1367" s="202"/>
      <c r="O1367" s="283" t="s">
        <v>728</v>
      </c>
      <c r="P1367" s="176"/>
      <c r="Q1367" s="177"/>
      <c r="R1367" s="132"/>
    </row>
    <row r="1368" spans="1:22" ht="17.25" outlineLevel="1" thickBot="1" x14ac:dyDescent="0.3">
      <c r="A1368" s="1006" t="s">
        <v>628</v>
      </c>
      <c r="B1368" s="1007"/>
      <c r="C1368" s="364"/>
      <c r="D1368" s="365">
        <f>SUM(D1362:D1367)</f>
        <v>22420675.07</v>
      </c>
      <c r="E1368" s="239"/>
      <c r="F1368" s="239"/>
      <c r="G1368" s="366">
        <f>SUM(G1362:G1367)</f>
        <v>20374216.57</v>
      </c>
      <c r="H1368" s="239"/>
      <c r="I1368" s="321"/>
      <c r="J1368" s="365">
        <f>SUM(J1362:J1367)</f>
        <v>6825925.2200000007</v>
      </c>
      <c r="K1368" s="365">
        <f>SUM(K1362:K1367)</f>
        <v>6825925.2200000007</v>
      </c>
      <c r="L1368" s="367"/>
      <c r="M1368" s="365"/>
      <c r="N1368" s="368">
        <f>AVERAGE(N1362:N1367)</f>
        <v>0.91999999999999993</v>
      </c>
      <c r="O1368" s="369"/>
      <c r="P1368" s="176"/>
      <c r="Q1368" s="177"/>
      <c r="R1368" s="132"/>
    </row>
    <row r="1369" spans="1:22" s="5" customFormat="1" ht="28.5" customHeight="1" x14ac:dyDescent="0.25">
      <c r="A1369" s="1027">
        <v>7</v>
      </c>
      <c r="B1369" s="1025" t="s">
        <v>301</v>
      </c>
      <c r="C1369" s="197" t="s">
        <v>38</v>
      </c>
      <c r="D1369" s="316">
        <v>2150000</v>
      </c>
      <c r="E1369" s="509" t="s">
        <v>962</v>
      </c>
      <c r="F1369" s="509" t="s">
        <v>830</v>
      </c>
      <c r="G1369" s="510">
        <v>1506829.32</v>
      </c>
      <c r="H1369" s="161">
        <v>42591</v>
      </c>
      <c r="I1369" s="746"/>
      <c r="J1369" s="487"/>
      <c r="K1369" s="752"/>
      <c r="L1369" s="753"/>
      <c r="M1369" s="752"/>
      <c r="N1369" s="649">
        <v>1</v>
      </c>
      <c r="O1369" s="754"/>
      <c r="P1369" s="176"/>
      <c r="Q1369" s="280" t="s">
        <v>1118</v>
      </c>
      <c r="R1369" s="168"/>
      <c r="S1369" s="19"/>
      <c r="T1369" s="19"/>
      <c r="U1369" s="19"/>
      <c r="V1369" s="19"/>
    </row>
    <row r="1370" spans="1:22" ht="49.5" outlineLevel="1" x14ac:dyDescent="0.25">
      <c r="A1370" s="1028"/>
      <c r="B1370" s="1026"/>
      <c r="C1370" s="253" t="s">
        <v>34</v>
      </c>
      <c r="D1370" s="163">
        <v>8030000</v>
      </c>
      <c r="E1370" s="253" t="s">
        <v>962</v>
      </c>
      <c r="F1370" s="253" t="s">
        <v>830</v>
      </c>
      <c r="G1370" s="163">
        <v>6571637.1200000001</v>
      </c>
      <c r="H1370" s="210">
        <v>42591</v>
      </c>
      <c r="I1370" s="210">
        <v>42731</v>
      </c>
      <c r="J1370" s="163"/>
      <c r="K1370" s="163"/>
      <c r="L1370" s="210"/>
      <c r="M1370" s="163"/>
      <c r="N1370" s="213">
        <v>1</v>
      </c>
      <c r="O1370" s="301"/>
      <c r="P1370" s="176"/>
      <c r="Q1370" s="280" t="s">
        <v>1118</v>
      </c>
      <c r="R1370" s="132"/>
    </row>
    <row r="1371" spans="1:22" ht="49.5" outlineLevel="1" x14ac:dyDescent="0.25">
      <c r="A1371" s="1028"/>
      <c r="B1371" s="1026"/>
      <c r="C1371" s="253" t="s">
        <v>35</v>
      </c>
      <c r="D1371" s="253">
        <v>1872000</v>
      </c>
      <c r="E1371" s="253" t="s">
        <v>962</v>
      </c>
      <c r="F1371" s="253" t="s">
        <v>830</v>
      </c>
      <c r="G1371" s="163">
        <v>1213106.08</v>
      </c>
      <c r="H1371" s="210">
        <v>42591</v>
      </c>
      <c r="I1371" s="751"/>
      <c r="J1371" s="163"/>
      <c r="K1371" s="163"/>
      <c r="L1371" s="210"/>
      <c r="M1371" s="163"/>
      <c r="N1371" s="213">
        <v>1</v>
      </c>
      <c r="O1371" s="301"/>
      <c r="P1371" s="176"/>
      <c r="Q1371" s="280" t="s">
        <v>1118</v>
      </c>
      <c r="R1371" s="132"/>
    </row>
    <row r="1372" spans="1:22" ht="33" outlineLevel="1" x14ac:dyDescent="0.25">
      <c r="A1372" s="1028"/>
      <c r="B1372" s="1026"/>
      <c r="C1372" s="253" t="s">
        <v>36</v>
      </c>
      <c r="D1372" s="163">
        <v>1238000</v>
      </c>
      <c r="E1372" s="253" t="s">
        <v>962</v>
      </c>
      <c r="F1372" s="253" t="s">
        <v>830</v>
      </c>
      <c r="G1372" s="163">
        <v>741032.92</v>
      </c>
      <c r="H1372" s="257">
        <v>42591</v>
      </c>
      <c r="I1372" s="751"/>
      <c r="J1372" s="163"/>
      <c r="K1372" s="163"/>
      <c r="L1372" s="210"/>
      <c r="M1372" s="163"/>
      <c r="N1372" s="213">
        <v>1</v>
      </c>
      <c r="O1372" s="301"/>
      <c r="P1372" s="176"/>
      <c r="Q1372" s="201" t="s">
        <v>1114</v>
      </c>
      <c r="R1372" s="132"/>
    </row>
    <row r="1373" spans="1:22" ht="33" outlineLevel="1" x14ac:dyDescent="0.25">
      <c r="A1373" s="1028"/>
      <c r="B1373" s="1026"/>
      <c r="C1373" s="253" t="s">
        <v>500</v>
      </c>
      <c r="D1373" s="163">
        <v>4609168</v>
      </c>
      <c r="E1373" s="163" t="s">
        <v>818</v>
      </c>
      <c r="F1373" s="253" t="s">
        <v>819</v>
      </c>
      <c r="G1373" s="519">
        <v>4761255.83</v>
      </c>
      <c r="H1373" s="210">
        <v>42170</v>
      </c>
      <c r="I1373" s="210">
        <v>42561</v>
      </c>
      <c r="J1373" s="163">
        <v>4609168</v>
      </c>
      <c r="K1373" s="163">
        <v>4609168</v>
      </c>
      <c r="L1373" s="210"/>
      <c r="M1373" s="163"/>
      <c r="N1373" s="213">
        <v>1</v>
      </c>
      <c r="O1373" s="301"/>
      <c r="P1373" s="176"/>
      <c r="Q1373" s="177"/>
      <c r="R1373" s="132"/>
    </row>
    <row r="1374" spans="1:22" ht="33" outlineLevel="1" x14ac:dyDescent="0.25">
      <c r="A1374" s="1028"/>
      <c r="B1374" s="1026"/>
      <c r="C1374" s="337" t="s">
        <v>501</v>
      </c>
      <c r="D1374" s="303">
        <v>12510000</v>
      </c>
      <c r="E1374" s="173" t="s">
        <v>1163</v>
      </c>
      <c r="F1374" s="432" t="s">
        <v>876</v>
      </c>
      <c r="G1374" s="459">
        <v>11473363.33</v>
      </c>
      <c r="H1374" s="171">
        <v>42911</v>
      </c>
      <c r="I1374" s="172"/>
      <c r="J1374" s="173"/>
      <c r="K1374" s="173">
        <v>5089202</v>
      </c>
      <c r="L1374" s="171"/>
      <c r="M1374" s="173"/>
      <c r="N1374" s="460">
        <v>0</v>
      </c>
      <c r="O1374" s="301"/>
      <c r="P1374" s="176">
        <v>2017</v>
      </c>
      <c r="Q1374" s="177"/>
      <c r="R1374" s="132"/>
    </row>
    <row r="1375" spans="1:22" ht="49.5" outlineLevel="1" x14ac:dyDescent="0.25">
      <c r="A1375" s="1028"/>
      <c r="B1375" s="1026"/>
      <c r="C1375" s="294" t="s">
        <v>37</v>
      </c>
      <c r="D1375" s="180">
        <v>592785.06999999995</v>
      </c>
      <c r="E1375" s="184" t="s">
        <v>572</v>
      </c>
      <c r="F1375" s="181" t="s">
        <v>541</v>
      </c>
      <c r="G1375" s="182">
        <v>592785.06999999995</v>
      </c>
      <c r="H1375" s="183">
        <v>42377</v>
      </c>
      <c r="I1375" s="183">
        <v>42377</v>
      </c>
      <c r="J1375" s="184">
        <v>592785.06999999995</v>
      </c>
      <c r="K1375" s="184">
        <v>592785.06999999995</v>
      </c>
      <c r="L1375" s="183"/>
      <c r="M1375" s="184">
        <f>J1375-D1375</f>
        <v>0</v>
      </c>
      <c r="N1375" s="202"/>
      <c r="O1375" s="283" t="s">
        <v>728</v>
      </c>
      <c r="P1375" s="176"/>
      <c r="Q1375" s="177"/>
      <c r="R1375" s="132"/>
    </row>
    <row r="1376" spans="1:22" ht="17.25" outlineLevel="1" thickBot="1" x14ac:dyDescent="0.3">
      <c r="A1376" s="1006" t="s">
        <v>628</v>
      </c>
      <c r="B1376" s="1007"/>
      <c r="C1376" s="364"/>
      <c r="D1376" s="365">
        <f>SUM(D1369:D1375)</f>
        <v>31001953.07</v>
      </c>
      <c r="E1376" s="239"/>
      <c r="F1376" s="239"/>
      <c r="G1376" s="366">
        <f>SUM(G1369:G1375)</f>
        <v>26860009.670000002</v>
      </c>
      <c r="H1376" s="239"/>
      <c r="I1376" s="321"/>
      <c r="J1376" s="365">
        <f>SUM(J1369:J1375)</f>
        <v>5201953.07</v>
      </c>
      <c r="K1376" s="365">
        <f>SUM(K1369:K1375)</f>
        <v>10291155.07</v>
      </c>
      <c r="L1376" s="367"/>
      <c r="M1376" s="365"/>
      <c r="N1376" s="368">
        <f>AVERAGE(N1369:N1375)</f>
        <v>0.83333333333333337</v>
      </c>
      <c r="O1376" s="369"/>
      <c r="P1376" s="176"/>
      <c r="Q1376" s="177"/>
      <c r="R1376" s="132"/>
    </row>
    <row r="1377" spans="1:22" s="5" customFormat="1" ht="49.5" x14ac:dyDescent="0.25">
      <c r="A1377" s="1027">
        <v>8</v>
      </c>
      <c r="B1377" s="1025" t="s">
        <v>302</v>
      </c>
      <c r="C1377" s="197" t="s">
        <v>38</v>
      </c>
      <c r="D1377" s="487">
        <v>2150000</v>
      </c>
      <c r="E1377" s="509" t="s">
        <v>962</v>
      </c>
      <c r="F1377" s="509" t="s">
        <v>830</v>
      </c>
      <c r="G1377" s="510">
        <v>1506829.32</v>
      </c>
      <c r="H1377" s="206">
        <v>42591</v>
      </c>
      <c r="I1377" s="755"/>
      <c r="J1377" s="752"/>
      <c r="K1377" s="752"/>
      <c r="L1377" s="753"/>
      <c r="M1377" s="752"/>
      <c r="N1377" s="649">
        <v>1</v>
      </c>
      <c r="O1377" s="370"/>
      <c r="P1377" s="176"/>
      <c r="Q1377" s="280" t="s">
        <v>1118</v>
      </c>
      <c r="R1377" s="168"/>
      <c r="S1377" s="19"/>
      <c r="T1377" s="19"/>
      <c r="U1377" s="19"/>
      <c r="V1377" s="19"/>
    </row>
    <row r="1378" spans="1:22" ht="49.5" outlineLevel="1" x14ac:dyDescent="0.25">
      <c r="A1378" s="1028"/>
      <c r="B1378" s="1026"/>
      <c r="C1378" s="253" t="s">
        <v>34</v>
      </c>
      <c r="D1378" s="163">
        <v>8030000</v>
      </c>
      <c r="E1378" s="253" t="s">
        <v>962</v>
      </c>
      <c r="F1378" s="253" t="s">
        <v>830</v>
      </c>
      <c r="G1378" s="163">
        <v>6571637.1200000001</v>
      </c>
      <c r="H1378" s="210">
        <v>42591</v>
      </c>
      <c r="I1378" s="210">
        <v>42731</v>
      </c>
      <c r="J1378" s="163"/>
      <c r="K1378" s="163"/>
      <c r="L1378" s="210"/>
      <c r="M1378" s="163"/>
      <c r="N1378" s="213">
        <v>1</v>
      </c>
      <c r="O1378" s="301"/>
      <c r="P1378" s="176"/>
      <c r="Q1378" s="280" t="s">
        <v>1118</v>
      </c>
      <c r="R1378" s="132"/>
    </row>
    <row r="1379" spans="1:22" ht="49.5" outlineLevel="1" x14ac:dyDescent="0.25">
      <c r="A1379" s="1028"/>
      <c r="B1379" s="1026"/>
      <c r="C1379" s="253" t="s">
        <v>35</v>
      </c>
      <c r="D1379" s="163">
        <v>1872000</v>
      </c>
      <c r="E1379" s="253" t="s">
        <v>962</v>
      </c>
      <c r="F1379" s="253" t="s">
        <v>830</v>
      </c>
      <c r="G1379" s="163">
        <v>1213106.5</v>
      </c>
      <c r="H1379" s="210">
        <v>42591</v>
      </c>
      <c r="I1379" s="751"/>
      <c r="J1379" s="163"/>
      <c r="K1379" s="163"/>
      <c r="L1379" s="210"/>
      <c r="M1379" s="163"/>
      <c r="N1379" s="213">
        <v>1</v>
      </c>
      <c r="O1379" s="301"/>
      <c r="P1379" s="176"/>
      <c r="Q1379" s="280" t="s">
        <v>1118</v>
      </c>
      <c r="R1379" s="132"/>
    </row>
    <row r="1380" spans="1:22" ht="33" outlineLevel="1" x14ac:dyDescent="0.25">
      <c r="A1380" s="1028"/>
      <c r="B1380" s="1026"/>
      <c r="C1380" s="253" t="s">
        <v>36</v>
      </c>
      <c r="D1380" s="163">
        <v>1238000</v>
      </c>
      <c r="E1380" s="253" t="s">
        <v>962</v>
      </c>
      <c r="F1380" s="253" t="s">
        <v>830</v>
      </c>
      <c r="G1380" s="163">
        <v>741032.92</v>
      </c>
      <c r="H1380" s="210">
        <v>42591</v>
      </c>
      <c r="I1380" s="751"/>
      <c r="J1380" s="163"/>
      <c r="K1380" s="163"/>
      <c r="L1380" s="210"/>
      <c r="M1380" s="163"/>
      <c r="N1380" s="213">
        <v>1</v>
      </c>
      <c r="O1380" s="301"/>
      <c r="P1380" s="176"/>
      <c r="Q1380" s="201" t="s">
        <v>1114</v>
      </c>
      <c r="R1380" s="132"/>
    </row>
    <row r="1381" spans="1:22" ht="33" outlineLevel="1" x14ac:dyDescent="0.25">
      <c r="A1381" s="1028"/>
      <c r="B1381" s="1026"/>
      <c r="C1381" s="253" t="s">
        <v>500</v>
      </c>
      <c r="D1381" s="163">
        <v>4585133</v>
      </c>
      <c r="E1381" s="163" t="s">
        <v>818</v>
      </c>
      <c r="F1381" s="253" t="s">
        <v>819</v>
      </c>
      <c r="G1381" s="163">
        <v>4778556.5</v>
      </c>
      <c r="H1381" s="210">
        <v>42170</v>
      </c>
      <c r="I1381" s="210">
        <v>42561</v>
      </c>
      <c r="J1381" s="163">
        <v>4585133</v>
      </c>
      <c r="K1381" s="163">
        <v>4585133</v>
      </c>
      <c r="L1381" s="210"/>
      <c r="M1381" s="163"/>
      <c r="N1381" s="213">
        <v>1</v>
      </c>
      <c r="O1381" s="301"/>
      <c r="P1381" s="176"/>
      <c r="Q1381" s="177"/>
      <c r="R1381" s="132"/>
    </row>
    <row r="1382" spans="1:22" ht="33" outlineLevel="1" x14ac:dyDescent="0.25">
      <c r="A1382" s="1028"/>
      <c r="B1382" s="1026"/>
      <c r="C1382" s="337" t="s">
        <v>501</v>
      </c>
      <c r="D1382" s="303">
        <v>12910000</v>
      </c>
      <c r="E1382" s="173" t="s">
        <v>1163</v>
      </c>
      <c r="F1382" s="432" t="s">
        <v>876</v>
      </c>
      <c r="G1382" s="459">
        <v>11887760.33</v>
      </c>
      <c r="H1382" s="171">
        <v>42911</v>
      </c>
      <c r="I1382" s="172"/>
      <c r="J1382" s="173"/>
      <c r="K1382" s="173"/>
      <c r="L1382" s="171"/>
      <c r="M1382" s="173"/>
      <c r="N1382" s="460">
        <v>0</v>
      </c>
      <c r="O1382" s="301"/>
      <c r="P1382" s="176">
        <v>2017</v>
      </c>
      <c r="Q1382" s="177"/>
      <c r="R1382" s="132"/>
    </row>
    <row r="1383" spans="1:22" ht="49.5" outlineLevel="1" x14ac:dyDescent="0.25">
      <c r="A1383" s="1028"/>
      <c r="B1383" s="1026"/>
      <c r="C1383" s="294" t="s">
        <v>37</v>
      </c>
      <c r="D1383" s="180">
        <v>590457.93000000005</v>
      </c>
      <c r="E1383" s="184" t="s">
        <v>572</v>
      </c>
      <c r="F1383" s="181" t="s">
        <v>541</v>
      </c>
      <c r="G1383" s="182">
        <v>590457.93999999994</v>
      </c>
      <c r="H1383" s="183">
        <v>42377</v>
      </c>
      <c r="I1383" s="183">
        <v>42377</v>
      </c>
      <c r="J1383" s="184">
        <v>590457.93000000005</v>
      </c>
      <c r="K1383" s="184">
        <v>590457.93000000005</v>
      </c>
      <c r="L1383" s="183"/>
      <c r="M1383" s="184">
        <f>J1383-D1383</f>
        <v>0</v>
      </c>
      <c r="N1383" s="202"/>
      <c r="O1383" s="283" t="s">
        <v>728</v>
      </c>
      <c r="P1383" s="176"/>
      <c r="Q1383" s="177"/>
      <c r="R1383" s="132"/>
    </row>
    <row r="1384" spans="1:22" ht="17.25" outlineLevel="1" thickBot="1" x14ac:dyDescent="0.3">
      <c r="A1384" s="1010" t="s">
        <v>628</v>
      </c>
      <c r="B1384" s="1011"/>
      <c r="C1384" s="377"/>
      <c r="D1384" s="365">
        <f>SUM(D1377:D1383)</f>
        <v>31375590.93</v>
      </c>
      <c r="E1384" s="247"/>
      <c r="F1384" s="247"/>
      <c r="G1384" s="366">
        <f>SUM(G1377:G1383)</f>
        <v>27289380.630000003</v>
      </c>
      <c r="H1384" s="247"/>
      <c r="I1384" s="277"/>
      <c r="J1384" s="365">
        <f>SUM(J1377:J1383)</f>
        <v>5175590.93</v>
      </c>
      <c r="K1384" s="365">
        <f>SUM(K1377:K1383)</f>
        <v>5175590.93</v>
      </c>
      <c r="L1384" s="380"/>
      <c r="M1384" s="378"/>
      <c r="N1384" s="368">
        <f>AVERAGE(N1377:N1383)</f>
        <v>0.83333333333333337</v>
      </c>
      <c r="O1384" s="381"/>
      <c r="P1384" s="176"/>
      <c r="Q1384" s="177"/>
      <c r="R1384" s="132"/>
    </row>
    <row r="1385" spans="1:22" s="5" customFormat="1" ht="49.5" x14ac:dyDescent="0.25">
      <c r="A1385" s="1027">
        <v>9</v>
      </c>
      <c r="B1385" s="1025" t="s">
        <v>303</v>
      </c>
      <c r="C1385" s="197" t="s">
        <v>38</v>
      </c>
      <c r="D1385" s="162">
        <v>2150000</v>
      </c>
      <c r="E1385" s="197" t="s">
        <v>998</v>
      </c>
      <c r="F1385" s="509" t="s">
        <v>830</v>
      </c>
      <c r="G1385" s="353">
        <v>1502829.32</v>
      </c>
      <c r="H1385" s="206">
        <v>42591</v>
      </c>
      <c r="I1385" s="756"/>
      <c r="J1385" s="199"/>
      <c r="K1385" s="199"/>
      <c r="L1385" s="198"/>
      <c r="M1385" s="199"/>
      <c r="N1385" s="200">
        <v>1</v>
      </c>
      <c r="O1385" s="370"/>
      <c r="P1385" s="176"/>
      <c r="Q1385" s="280" t="s">
        <v>1118</v>
      </c>
      <c r="R1385" s="168"/>
      <c r="S1385" s="19"/>
      <c r="T1385" s="19"/>
      <c r="U1385" s="19"/>
      <c r="V1385" s="19"/>
    </row>
    <row r="1386" spans="1:22" ht="49.5" outlineLevel="1" x14ac:dyDescent="0.25">
      <c r="A1386" s="1028"/>
      <c r="B1386" s="1026"/>
      <c r="C1386" s="253" t="s">
        <v>34</v>
      </c>
      <c r="D1386" s="163">
        <v>8030000</v>
      </c>
      <c r="E1386" s="479" t="s">
        <v>998</v>
      </c>
      <c r="F1386" s="478" t="s">
        <v>830</v>
      </c>
      <c r="G1386" s="354">
        <v>6571637.1200000001</v>
      </c>
      <c r="H1386" s="210">
        <v>42591</v>
      </c>
      <c r="I1386" s="210">
        <v>42731</v>
      </c>
      <c r="J1386" s="163"/>
      <c r="K1386" s="163"/>
      <c r="L1386" s="210"/>
      <c r="M1386" s="163"/>
      <c r="N1386" s="213">
        <v>1</v>
      </c>
      <c r="O1386" s="301"/>
      <c r="P1386" s="176"/>
      <c r="Q1386" s="280" t="s">
        <v>1118</v>
      </c>
      <c r="R1386" s="132"/>
    </row>
    <row r="1387" spans="1:22" ht="49.5" outlineLevel="1" x14ac:dyDescent="0.25">
      <c r="A1387" s="1028"/>
      <c r="B1387" s="1026"/>
      <c r="C1387" s="253" t="s">
        <v>35</v>
      </c>
      <c r="D1387" s="163">
        <v>1872000</v>
      </c>
      <c r="E1387" s="253" t="s">
        <v>998</v>
      </c>
      <c r="F1387" s="253" t="s">
        <v>830</v>
      </c>
      <c r="G1387" s="354">
        <v>995123.5</v>
      </c>
      <c r="H1387" s="210">
        <v>42591</v>
      </c>
      <c r="I1387" s="751"/>
      <c r="J1387" s="163"/>
      <c r="K1387" s="163"/>
      <c r="L1387" s="210"/>
      <c r="M1387" s="163"/>
      <c r="N1387" s="213">
        <v>1</v>
      </c>
      <c r="O1387" s="301"/>
      <c r="P1387" s="176"/>
      <c r="Q1387" s="280" t="s">
        <v>1118</v>
      </c>
      <c r="R1387" s="132"/>
    </row>
    <row r="1388" spans="1:22" ht="33" outlineLevel="1" x14ac:dyDescent="0.25">
      <c r="A1388" s="1028"/>
      <c r="B1388" s="1026"/>
      <c r="C1388" s="337" t="s">
        <v>36</v>
      </c>
      <c r="D1388" s="303">
        <v>1238000</v>
      </c>
      <c r="E1388" s="432" t="s">
        <v>998</v>
      </c>
      <c r="F1388" s="373" t="s">
        <v>830</v>
      </c>
      <c r="G1388" s="459">
        <v>741032.92</v>
      </c>
      <c r="H1388" s="171">
        <v>42591</v>
      </c>
      <c r="I1388" s="172"/>
      <c r="J1388" s="173"/>
      <c r="K1388" s="173"/>
      <c r="L1388" s="171"/>
      <c r="M1388" s="173"/>
      <c r="N1388" s="460">
        <v>0.6</v>
      </c>
      <c r="O1388" s="301"/>
      <c r="P1388" s="176"/>
      <c r="Q1388" s="201" t="s">
        <v>1114</v>
      </c>
      <c r="R1388" s="132"/>
    </row>
    <row r="1389" spans="1:22" ht="33" outlineLevel="1" x14ac:dyDescent="0.25">
      <c r="A1389" s="1028"/>
      <c r="B1389" s="1026"/>
      <c r="C1389" s="253" t="s">
        <v>500</v>
      </c>
      <c r="D1389" s="163">
        <v>5208159.55</v>
      </c>
      <c r="E1389" s="163" t="s">
        <v>808</v>
      </c>
      <c r="F1389" s="253" t="s">
        <v>809</v>
      </c>
      <c r="G1389" s="354">
        <v>4734867.6100000003</v>
      </c>
      <c r="H1389" s="210">
        <v>42521</v>
      </c>
      <c r="I1389" s="210">
        <v>42558</v>
      </c>
      <c r="J1389" s="163">
        <v>5208159.5500000007</v>
      </c>
      <c r="K1389" s="163">
        <v>5208159.5500000007</v>
      </c>
      <c r="L1389" s="210"/>
      <c r="M1389" s="163"/>
      <c r="N1389" s="213">
        <v>1</v>
      </c>
      <c r="O1389" s="301"/>
      <c r="P1389" s="176"/>
      <c r="Q1389" s="177"/>
      <c r="R1389" s="132"/>
    </row>
    <row r="1390" spans="1:22" ht="33" outlineLevel="1" x14ac:dyDescent="0.25">
      <c r="A1390" s="1028"/>
      <c r="B1390" s="1026"/>
      <c r="C1390" s="337" t="s">
        <v>501</v>
      </c>
      <c r="D1390" s="303">
        <v>12620000</v>
      </c>
      <c r="E1390" s="173" t="s">
        <v>1163</v>
      </c>
      <c r="F1390" s="432" t="s">
        <v>876</v>
      </c>
      <c r="G1390" s="459">
        <v>11577155.75</v>
      </c>
      <c r="H1390" s="171">
        <v>42911</v>
      </c>
      <c r="I1390" s="172"/>
      <c r="J1390" s="173"/>
      <c r="K1390" s="173"/>
      <c r="L1390" s="171"/>
      <c r="M1390" s="173"/>
      <c r="N1390" s="460">
        <v>0</v>
      </c>
      <c r="O1390" s="301"/>
      <c r="P1390" s="176">
        <v>2017</v>
      </c>
      <c r="Q1390" s="177"/>
      <c r="R1390" s="132"/>
    </row>
    <row r="1391" spans="1:22" ht="49.5" outlineLevel="1" x14ac:dyDescent="0.25">
      <c r="A1391" s="1028"/>
      <c r="B1391" s="1026"/>
      <c r="C1391" s="294" t="s">
        <v>37</v>
      </c>
      <c r="D1391" s="180">
        <v>590457.93000000005</v>
      </c>
      <c r="E1391" s="184" t="s">
        <v>572</v>
      </c>
      <c r="F1391" s="181" t="s">
        <v>541</v>
      </c>
      <c r="G1391" s="182">
        <v>590457.93999999994</v>
      </c>
      <c r="H1391" s="183">
        <v>42377</v>
      </c>
      <c r="I1391" s="183">
        <v>42377</v>
      </c>
      <c r="J1391" s="184">
        <v>590457.93000000005</v>
      </c>
      <c r="K1391" s="184">
        <v>590457.93000000005</v>
      </c>
      <c r="L1391" s="183"/>
      <c r="M1391" s="184">
        <f>J1391-D1391</f>
        <v>0</v>
      </c>
      <c r="N1391" s="202"/>
      <c r="O1391" s="283" t="s">
        <v>728</v>
      </c>
      <c r="P1391" s="176"/>
      <c r="Q1391" s="177"/>
      <c r="R1391" s="132"/>
    </row>
    <row r="1392" spans="1:22" ht="17.25" outlineLevel="1" thickBot="1" x14ac:dyDescent="0.3">
      <c r="A1392" s="1006" t="s">
        <v>628</v>
      </c>
      <c r="B1392" s="1007"/>
      <c r="C1392" s="364"/>
      <c r="D1392" s="365">
        <f>SUM(D1385:D1391)</f>
        <v>31708617.48</v>
      </c>
      <c r="E1392" s="239"/>
      <c r="F1392" s="239"/>
      <c r="G1392" s="366">
        <f>SUM(G1385:G1391)</f>
        <v>26713104.160000004</v>
      </c>
      <c r="H1392" s="239"/>
      <c r="I1392" s="321"/>
      <c r="J1392" s="365">
        <f>SUM(J1385:J1391)</f>
        <v>5798617.4800000004</v>
      </c>
      <c r="K1392" s="365">
        <f>SUM(K1385:K1391)</f>
        <v>5798617.4800000004</v>
      </c>
      <c r="L1392" s="367"/>
      <c r="M1392" s="365"/>
      <c r="N1392" s="368">
        <f>AVERAGE(N1385:N1391)</f>
        <v>0.76666666666666661</v>
      </c>
      <c r="O1392" s="369"/>
      <c r="P1392" s="176"/>
      <c r="Q1392" s="177"/>
      <c r="R1392" s="132"/>
    </row>
    <row r="1393" spans="1:22" s="5" customFormat="1" ht="49.5" x14ac:dyDescent="0.25">
      <c r="A1393" s="1027">
        <v>10</v>
      </c>
      <c r="B1393" s="1025" t="s">
        <v>304</v>
      </c>
      <c r="C1393" s="197" t="s">
        <v>38</v>
      </c>
      <c r="D1393" s="162">
        <v>2150000</v>
      </c>
      <c r="E1393" s="509" t="s">
        <v>998</v>
      </c>
      <c r="F1393" s="509" t="s">
        <v>830</v>
      </c>
      <c r="G1393" s="353">
        <v>1506829.32</v>
      </c>
      <c r="H1393" s="206">
        <v>42591</v>
      </c>
      <c r="I1393" s="756"/>
      <c r="J1393" s="199"/>
      <c r="K1393" s="199"/>
      <c r="L1393" s="198"/>
      <c r="M1393" s="199"/>
      <c r="N1393" s="200">
        <v>1</v>
      </c>
      <c r="O1393" s="370"/>
      <c r="P1393" s="176"/>
      <c r="Q1393" s="280" t="s">
        <v>1118</v>
      </c>
      <c r="R1393" s="168"/>
      <c r="S1393" s="19"/>
      <c r="T1393" s="19"/>
      <c r="U1393" s="19"/>
      <c r="V1393" s="19"/>
    </row>
    <row r="1394" spans="1:22" ht="49.5" outlineLevel="1" x14ac:dyDescent="0.25">
      <c r="A1394" s="1028"/>
      <c r="B1394" s="1026"/>
      <c r="C1394" s="253" t="s">
        <v>35</v>
      </c>
      <c r="D1394" s="163">
        <v>1872000</v>
      </c>
      <c r="E1394" s="478" t="s">
        <v>998</v>
      </c>
      <c r="F1394" s="478" t="s">
        <v>830</v>
      </c>
      <c r="G1394" s="354">
        <v>995123.5</v>
      </c>
      <c r="H1394" s="210">
        <v>42591</v>
      </c>
      <c r="I1394" s="751"/>
      <c r="J1394" s="163"/>
      <c r="K1394" s="163"/>
      <c r="L1394" s="210"/>
      <c r="M1394" s="163"/>
      <c r="N1394" s="213">
        <v>1</v>
      </c>
      <c r="O1394" s="301"/>
      <c r="P1394" s="176"/>
      <c r="Q1394" s="280" t="s">
        <v>1118</v>
      </c>
      <c r="R1394" s="132"/>
    </row>
    <row r="1395" spans="1:22" ht="33" outlineLevel="1" x14ac:dyDescent="0.25">
      <c r="A1395" s="1028"/>
      <c r="B1395" s="1026"/>
      <c r="C1395" s="337" t="s">
        <v>36</v>
      </c>
      <c r="D1395" s="303">
        <v>1238000</v>
      </c>
      <c r="E1395" s="432" t="s">
        <v>998</v>
      </c>
      <c r="F1395" s="432" t="s">
        <v>830</v>
      </c>
      <c r="G1395" s="459">
        <v>741032.92</v>
      </c>
      <c r="H1395" s="171">
        <v>42591</v>
      </c>
      <c r="I1395" s="172"/>
      <c r="J1395" s="173"/>
      <c r="K1395" s="173"/>
      <c r="L1395" s="171"/>
      <c r="M1395" s="173"/>
      <c r="N1395" s="460">
        <v>0.6</v>
      </c>
      <c r="O1395" s="301"/>
      <c r="P1395" s="176"/>
      <c r="Q1395" s="201" t="s">
        <v>1114</v>
      </c>
      <c r="R1395" s="132"/>
    </row>
    <row r="1396" spans="1:22" ht="33" outlineLevel="1" x14ac:dyDescent="0.25">
      <c r="A1396" s="1028"/>
      <c r="B1396" s="1026"/>
      <c r="C1396" s="253" t="s">
        <v>500</v>
      </c>
      <c r="D1396" s="163">
        <v>5171195.05</v>
      </c>
      <c r="E1396" s="163" t="s">
        <v>808</v>
      </c>
      <c r="F1396" s="253" t="s">
        <v>809</v>
      </c>
      <c r="G1396" s="354">
        <v>4770291.1399999997</v>
      </c>
      <c r="H1396" s="210">
        <v>42521</v>
      </c>
      <c r="I1396" s="210">
        <v>42558</v>
      </c>
      <c r="J1396" s="163">
        <v>5171195.05</v>
      </c>
      <c r="K1396" s="163">
        <v>5171195.05</v>
      </c>
      <c r="L1396" s="210"/>
      <c r="M1396" s="163"/>
      <c r="N1396" s="213">
        <v>1</v>
      </c>
      <c r="O1396" s="301"/>
      <c r="P1396" s="176"/>
      <c r="Q1396" s="177"/>
      <c r="R1396" s="132"/>
    </row>
    <row r="1397" spans="1:22" ht="33" outlineLevel="1" x14ac:dyDescent="0.25">
      <c r="A1397" s="1028"/>
      <c r="B1397" s="1026"/>
      <c r="C1397" s="337" t="s">
        <v>501</v>
      </c>
      <c r="D1397" s="303">
        <v>10418000</v>
      </c>
      <c r="E1397" s="173" t="s">
        <v>1184</v>
      </c>
      <c r="F1397" s="432" t="s">
        <v>794</v>
      </c>
      <c r="G1397" s="459">
        <v>9404237.1600000001</v>
      </c>
      <c r="H1397" s="171">
        <v>42911</v>
      </c>
      <c r="I1397" s="172"/>
      <c r="J1397" s="173"/>
      <c r="K1397" s="173"/>
      <c r="L1397" s="171"/>
      <c r="M1397" s="173"/>
      <c r="N1397" s="460">
        <v>0</v>
      </c>
      <c r="O1397" s="301"/>
      <c r="P1397" s="176">
        <v>2017</v>
      </c>
      <c r="Q1397" s="177"/>
      <c r="R1397" s="132"/>
    </row>
    <row r="1398" spans="1:22" ht="49.5" outlineLevel="1" x14ac:dyDescent="0.25">
      <c r="A1398" s="1028"/>
      <c r="B1398" s="1026"/>
      <c r="C1398" s="294" t="s">
        <v>37</v>
      </c>
      <c r="D1398" s="180">
        <v>590457.93000000005</v>
      </c>
      <c r="E1398" s="184" t="s">
        <v>572</v>
      </c>
      <c r="F1398" s="181" t="s">
        <v>541</v>
      </c>
      <c r="G1398" s="182">
        <v>590457.93999999994</v>
      </c>
      <c r="H1398" s="183">
        <v>42377</v>
      </c>
      <c r="I1398" s="183">
        <v>42377</v>
      </c>
      <c r="J1398" s="184">
        <v>590457.93000000005</v>
      </c>
      <c r="K1398" s="184">
        <v>590457.93000000005</v>
      </c>
      <c r="L1398" s="183"/>
      <c r="M1398" s="184">
        <f>J1398-D1398</f>
        <v>0</v>
      </c>
      <c r="N1398" s="202"/>
      <c r="O1398" s="283" t="s">
        <v>728</v>
      </c>
      <c r="P1398" s="176"/>
      <c r="Q1398" s="177"/>
      <c r="R1398" s="132"/>
    </row>
    <row r="1399" spans="1:22" ht="17.25" outlineLevel="1" thickBot="1" x14ac:dyDescent="0.3">
      <c r="A1399" s="1006" t="s">
        <v>628</v>
      </c>
      <c r="B1399" s="1007"/>
      <c r="C1399" s="364"/>
      <c r="D1399" s="365">
        <f>SUM(D1393:D1398)</f>
        <v>21439652.98</v>
      </c>
      <c r="E1399" s="239"/>
      <c r="F1399" s="239"/>
      <c r="G1399" s="366">
        <f>SUM(G1393:G1398)</f>
        <v>18007971.98</v>
      </c>
      <c r="H1399" s="239"/>
      <c r="I1399" s="321"/>
      <c r="J1399" s="365">
        <f>SUM(J1393:J1398)</f>
        <v>5761652.9799999995</v>
      </c>
      <c r="K1399" s="365">
        <f>SUM(K1393:K1398)</f>
        <v>5761652.9799999995</v>
      </c>
      <c r="L1399" s="367"/>
      <c r="M1399" s="365"/>
      <c r="N1399" s="368">
        <f>AVERAGE(N1393:N1398)</f>
        <v>0.72</v>
      </c>
      <c r="O1399" s="369"/>
      <c r="P1399" s="176"/>
      <c r="Q1399" s="177"/>
      <c r="R1399" s="132"/>
    </row>
    <row r="1400" spans="1:22" s="5" customFormat="1" ht="33" x14ac:dyDescent="0.25">
      <c r="A1400" s="1027">
        <v>11</v>
      </c>
      <c r="B1400" s="1025" t="s">
        <v>9</v>
      </c>
      <c r="C1400" s="371" t="s">
        <v>501</v>
      </c>
      <c r="D1400" s="372">
        <v>2590000</v>
      </c>
      <c r="E1400" s="173" t="s">
        <v>1184</v>
      </c>
      <c r="F1400" s="432" t="s">
        <v>794</v>
      </c>
      <c r="G1400" s="459">
        <v>2287777.81</v>
      </c>
      <c r="H1400" s="171">
        <v>42889</v>
      </c>
      <c r="I1400" s="224"/>
      <c r="J1400" s="225"/>
      <c r="K1400" s="225"/>
      <c r="L1400" s="226"/>
      <c r="M1400" s="225"/>
      <c r="N1400" s="376">
        <v>0</v>
      </c>
      <c r="O1400" s="370"/>
      <c r="P1400" s="176">
        <v>2017</v>
      </c>
      <c r="Q1400" s="177"/>
      <c r="R1400" s="168"/>
      <c r="S1400" s="19"/>
      <c r="T1400" s="19"/>
      <c r="U1400" s="19"/>
      <c r="V1400" s="19"/>
    </row>
    <row r="1401" spans="1:22" ht="49.5" outlineLevel="1" x14ac:dyDescent="0.25">
      <c r="A1401" s="1028"/>
      <c r="B1401" s="1026"/>
      <c r="C1401" s="356" t="s">
        <v>37</v>
      </c>
      <c r="D1401" s="357">
        <v>51580</v>
      </c>
      <c r="E1401" s="361" t="s">
        <v>576</v>
      </c>
      <c r="F1401" s="358" t="s">
        <v>541</v>
      </c>
      <c r="G1401" s="359">
        <v>51581.16</v>
      </c>
      <c r="H1401" s="360">
        <v>42429</v>
      </c>
      <c r="I1401" s="360">
        <v>42593</v>
      </c>
      <c r="J1401" s="361">
        <v>51581.15</v>
      </c>
      <c r="K1401" s="361">
        <v>51581.15</v>
      </c>
      <c r="L1401" s="360"/>
      <c r="M1401" s="361"/>
      <c r="N1401" s="362"/>
      <c r="O1401" s="466" t="s">
        <v>728</v>
      </c>
      <c r="P1401" s="176"/>
      <c r="Q1401" s="177"/>
      <c r="R1401" s="132"/>
    </row>
    <row r="1402" spans="1:22" ht="17.25" outlineLevel="1" thickBot="1" x14ac:dyDescent="0.3">
      <c r="A1402" s="1006" t="s">
        <v>628</v>
      </c>
      <c r="B1402" s="1007"/>
      <c r="C1402" s="364"/>
      <c r="D1402" s="365">
        <f>SUM(D1400:D1401)</f>
        <v>2641580</v>
      </c>
      <c r="E1402" s="239"/>
      <c r="F1402" s="239"/>
      <c r="G1402" s="366">
        <f>SUM(G1400:G1401)</f>
        <v>2339358.9700000002</v>
      </c>
      <c r="H1402" s="239"/>
      <c r="I1402" s="321"/>
      <c r="J1402" s="365">
        <f t="shared" ref="J1402" si="122">SUM(J1400:J1401)</f>
        <v>51581.15</v>
      </c>
      <c r="K1402" s="365">
        <f>SUM(K1400:K1401)</f>
        <v>51581.15</v>
      </c>
      <c r="L1402" s="367"/>
      <c r="M1402" s="365"/>
      <c r="N1402" s="368">
        <f>AVERAGE(N1400:N1401)</f>
        <v>0</v>
      </c>
      <c r="O1402" s="369"/>
      <c r="P1402" s="176"/>
      <c r="Q1402" s="177"/>
      <c r="R1402" s="132"/>
    </row>
    <row r="1403" spans="1:22" s="5" customFormat="1" ht="49.5" x14ac:dyDescent="0.25">
      <c r="A1403" s="1027">
        <v>12</v>
      </c>
      <c r="B1403" s="1025" t="s">
        <v>305</v>
      </c>
      <c r="C1403" s="197" t="s">
        <v>38</v>
      </c>
      <c r="D1403" s="163">
        <v>2150000</v>
      </c>
      <c r="E1403" s="509" t="s">
        <v>998</v>
      </c>
      <c r="F1403" s="197" t="s">
        <v>830</v>
      </c>
      <c r="G1403" s="353">
        <v>1924490.04</v>
      </c>
      <c r="H1403" s="206">
        <v>42591</v>
      </c>
      <c r="I1403" s="756"/>
      <c r="J1403" s="199"/>
      <c r="K1403" s="199"/>
      <c r="L1403" s="198"/>
      <c r="M1403" s="199"/>
      <c r="N1403" s="200">
        <v>1</v>
      </c>
      <c r="O1403" s="370"/>
      <c r="P1403" s="176"/>
      <c r="Q1403" s="280" t="s">
        <v>1118</v>
      </c>
      <c r="R1403" s="168"/>
      <c r="S1403" s="19"/>
      <c r="T1403" s="19"/>
      <c r="U1403" s="19"/>
      <c r="V1403" s="19"/>
    </row>
    <row r="1404" spans="1:22" ht="49.5" outlineLevel="1" x14ac:dyDescent="0.25">
      <c r="A1404" s="1028"/>
      <c r="B1404" s="1026"/>
      <c r="C1404" s="253" t="s">
        <v>34</v>
      </c>
      <c r="D1404" s="163">
        <v>8030000</v>
      </c>
      <c r="E1404" s="478" t="s">
        <v>998</v>
      </c>
      <c r="F1404" s="479" t="s">
        <v>830</v>
      </c>
      <c r="G1404" s="519">
        <v>6804967.96</v>
      </c>
      <c r="H1404" s="210">
        <v>42591</v>
      </c>
      <c r="I1404" s="210">
        <v>42731</v>
      </c>
      <c r="J1404" s="163"/>
      <c r="K1404" s="163"/>
      <c r="L1404" s="210"/>
      <c r="M1404" s="163"/>
      <c r="N1404" s="213">
        <v>1</v>
      </c>
      <c r="O1404" s="301"/>
      <c r="P1404" s="176"/>
      <c r="Q1404" s="280" t="s">
        <v>1118</v>
      </c>
      <c r="R1404" s="132"/>
    </row>
    <row r="1405" spans="1:22" ht="49.5" outlineLevel="1" x14ac:dyDescent="0.25">
      <c r="A1405" s="1028"/>
      <c r="B1405" s="1026"/>
      <c r="C1405" s="253" t="s">
        <v>35</v>
      </c>
      <c r="D1405" s="163">
        <v>1872000</v>
      </c>
      <c r="E1405" s="253" t="s">
        <v>998</v>
      </c>
      <c r="F1405" s="478" t="s">
        <v>830</v>
      </c>
      <c r="G1405" s="354">
        <v>1328431.02</v>
      </c>
      <c r="H1405" s="210">
        <v>42591</v>
      </c>
      <c r="I1405" s="751"/>
      <c r="J1405" s="163"/>
      <c r="K1405" s="163"/>
      <c r="L1405" s="210"/>
      <c r="M1405" s="163"/>
      <c r="N1405" s="213">
        <v>1</v>
      </c>
      <c r="O1405" s="301"/>
      <c r="P1405" s="176"/>
      <c r="Q1405" s="280" t="s">
        <v>1118</v>
      </c>
      <c r="R1405" s="132"/>
    </row>
    <row r="1406" spans="1:22" ht="33" outlineLevel="1" x14ac:dyDescent="0.25">
      <c r="A1406" s="1028"/>
      <c r="B1406" s="1026"/>
      <c r="C1406" s="337" t="s">
        <v>36</v>
      </c>
      <c r="D1406" s="173">
        <v>1238000</v>
      </c>
      <c r="E1406" s="373" t="s">
        <v>998</v>
      </c>
      <c r="F1406" s="432" t="s">
        <v>830</v>
      </c>
      <c r="G1406" s="459">
        <v>1015065.5</v>
      </c>
      <c r="H1406" s="171">
        <v>42591</v>
      </c>
      <c r="I1406" s="172"/>
      <c r="J1406" s="173"/>
      <c r="K1406" s="173"/>
      <c r="L1406" s="171"/>
      <c r="M1406" s="173"/>
      <c r="N1406" s="460">
        <v>0.5</v>
      </c>
      <c r="O1406" s="301"/>
      <c r="P1406" s="176"/>
      <c r="Q1406" s="201" t="s">
        <v>1114</v>
      </c>
      <c r="R1406" s="132"/>
    </row>
    <row r="1407" spans="1:22" ht="30" customHeight="1" outlineLevel="1" x14ac:dyDescent="0.25">
      <c r="A1407" s="1028"/>
      <c r="B1407" s="1026"/>
      <c r="C1407" s="337" t="s">
        <v>501</v>
      </c>
      <c r="D1407" s="303">
        <v>16980000</v>
      </c>
      <c r="E1407" s="173" t="s">
        <v>1163</v>
      </c>
      <c r="F1407" s="432" t="s">
        <v>876</v>
      </c>
      <c r="G1407" s="459">
        <v>15861720.59</v>
      </c>
      <c r="H1407" s="171">
        <v>42911</v>
      </c>
      <c r="I1407" s="172"/>
      <c r="J1407" s="173"/>
      <c r="K1407" s="173"/>
      <c r="L1407" s="171"/>
      <c r="M1407" s="173"/>
      <c r="N1407" s="460">
        <v>0</v>
      </c>
      <c r="O1407" s="301"/>
      <c r="P1407" s="176">
        <v>2017</v>
      </c>
      <c r="Q1407" s="177"/>
      <c r="R1407" s="132"/>
    </row>
    <row r="1408" spans="1:22" ht="49.5" outlineLevel="1" x14ac:dyDescent="0.25">
      <c r="A1408" s="1028"/>
      <c r="B1408" s="1026"/>
      <c r="C1408" s="294" t="s">
        <v>37</v>
      </c>
      <c r="D1408" s="180">
        <v>502082.62</v>
      </c>
      <c r="E1408" s="184" t="s">
        <v>572</v>
      </c>
      <c r="F1408" s="181" t="s">
        <v>541</v>
      </c>
      <c r="G1408" s="182">
        <v>502082.62</v>
      </c>
      <c r="H1408" s="183">
        <v>42377</v>
      </c>
      <c r="I1408" s="183">
        <v>42377</v>
      </c>
      <c r="J1408" s="184">
        <v>502082.62</v>
      </c>
      <c r="K1408" s="184">
        <v>502082.62</v>
      </c>
      <c r="L1408" s="183"/>
      <c r="M1408" s="184">
        <f>J1408-D1408</f>
        <v>0</v>
      </c>
      <c r="N1408" s="202"/>
      <c r="O1408" s="283" t="s">
        <v>728</v>
      </c>
      <c r="P1408" s="176"/>
      <c r="Q1408" s="177"/>
      <c r="R1408" s="132"/>
    </row>
    <row r="1409" spans="1:22" ht="17.25" outlineLevel="1" thickBot="1" x14ac:dyDescent="0.3">
      <c r="A1409" s="1006" t="s">
        <v>628</v>
      </c>
      <c r="B1409" s="1007"/>
      <c r="C1409" s="364"/>
      <c r="D1409" s="365">
        <f>SUM(D1403:D1408)</f>
        <v>30772082.620000001</v>
      </c>
      <c r="E1409" s="239"/>
      <c r="F1409" s="239"/>
      <c r="G1409" s="366">
        <f>SUM(G1403:G1408)</f>
        <v>27436757.73</v>
      </c>
      <c r="H1409" s="239"/>
      <c r="I1409" s="321"/>
      <c r="J1409" s="365">
        <f>SUM(J1403:J1408)</f>
        <v>502082.62</v>
      </c>
      <c r="K1409" s="365">
        <f>SUM(K1403:K1408)</f>
        <v>502082.62</v>
      </c>
      <c r="L1409" s="367"/>
      <c r="M1409" s="365"/>
      <c r="N1409" s="368">
        <f>AVERAGE(N1403:N1408)</f>
        <v>0.7</v>
      </c>
      <c r="O1409" s="369"/>
      <c r="P1409" s="176"/>
      <c r="Q1409" s="177"/>
      <c r="R1409" s="132"/>
    </row>
    <row r="1410" spans="1:22" s="5" customFormat="1" ht="33" x14ac:dyDescent="0.25">
      <c r="A1410" s="1027">
        <v>13</v>
      </c>
      <c r="B1410" s="1025" t="s">
        <v>571</v>
      </c>
      <c r="C1410" s="197" t="s">
        <v>500</v>
      </c>
      <c r="D1410" s="162">
        <v>5865217</v>
      </c>
      <c r="E1410" s="197" t="s">
        <v>929</v>
      </c>
      <c r="F1410" s="197" t="s">
        <v>930</v>
      </c>
      <c r="G1410" s="353">
        <v>5865217</v>
      </c>
      <c r="H1410" s="161">
        <v>42640</v>
      </c>
      <c r="I1410" s="161">
        <v>42662</v>
      </c>
      <c r="J1410" s="162">
        <v>5408527.6399999997</v>
      </c>
      <c r="K1410" s="162">
        <v>5408527.6399999997</v>
      </c>
      <c r="L1410" s="161">
        <v>42703</v>
      </c>
      <c r="M1410" s="162"/>
      <c r="N1410" s="200">
        <v>1</v>
      </c>
      <c r="O1410" s="370"/>
      <c r="P1410" s="176"/>
      <c r="Q1410" s="201" t="s">
        <v>1114</v>
      </c>
      <c r="R1410" s="168"/>
      <c r="S1410" s="19"/>
      <c r="T1410" s="19"/>
      <c r="U1410" s="19"/>
      <c r="V1410" s="19"/>
    </row>
    <row r="1411" spans="1:22" ht="49.5" outlineLevel="1" x14ac:dyDescent="0.25">
      <c r="A1411" s="1028"/>
      <c r="B1411" s="1026"/>
      <c r="C1411" s="356" t="s">
        <v>37</v>
      </c>
      <c r="D1411" s="357">
        <v>81960.679999999993</v>
      </c>
      <c r="E1411" s="361" t="s">
        <v>575</v>
      </c>
      <c r="F1411" s="358" t="s">
        <v>541</v>
      </c>
      <c r="G1411" s="359">
        <v>81960.679999999993</v>
      </c>
      <c r="H1411" s="360">
        <v>42429</v>
      </c>
      <c r="I1411" s="360">
        <v>42593</v>
      </c>
      <c r="J1411" s="361">
        <v>81960.679999999993</v>
      </c>
      <c r="K1411" s="361">
        <v>81960.679999999993</v>
      </c>
      <c r="L1411" s="360"/>
      <c r="M1411" s="361">
        <f>J1411-D1411</f>
        <v>0</v>
      </c>
      <c r="N1411" s="362"/>
      <c r="O1411" s="466" t="s">
        <v>728</v>
      </c>
      <c r="P1411" s="176"/>
      <c r="Q1411" s="177"/>
      <c r="R1411" s="132"/>
    </row>
    <row r="1412" spans="1:22" ht="17.25" outlineLevel="1" thickBot="1" x14ac:dyDescent="0.3">
      <c r="A1412" s="1006" t="s">
        <v>628</v>
      </c>
      <c r="B1412" s="1007"/>
      <c r="C1412" s="364"/>
      <c r="D1412" s="365">
        <f>SUM(D1410:D1411)</f>
        <v>5947177.6799999997</v>
      </c>
      <c r="E1412" s="239"/>
      <c r="F1412" s="239"/>
      <c r="G1412" s="366">
        <f>SUM(G1410:G1411)</f>
        <v>5947177.6799999997</v>
      </c>
      <c r="H1412" s="239"/>
      <c r="I1412" s="321"/>
      <c r="J1412" s="365">
        <f t="shared" ref="J1412" si="123">SUM(J1410:J1411)</f>
        <v>5490488.3199999994</v>
      </c>
      <c r="K1412" s="365">
        <f>SUM(K1410:K1411)</f>
        <v>5490488.3199999994</v>
      </c>
      <c r="L1412" s="367"/>
      <c r="M1412" s="365"/>
      <c r="N1412" s="368">
        <f>AVERAGE(N1410:N1411)</f>
        <v>1</v>
      </c>
      <c r="O1412" s="369"/>
      <c r="P1412" s="176"/>
      <c r="Q1412" s="177"/>
      <c r="R1412" s="132"/>
    </row>
    <row r="1413" spans="1:22" s="69" customFormat="1" ht="49.5" x14ac:dyDescent="0.25">
      <c r="A1413" s="1027">
        <v>14</v>
      </c>
      <c r="B1413" s="1025" t="s">
        <v>10</v>
      </c>
      <c r="C1413" s="197" t="s">
        <v>34</v>
      </c>
      <c r="D1413" s="163">
        <v>3384963.34</v>
      </c>
      <c r="E1413" s="509" t="s">
        <v>998</v>
      </c>
      <c r="F1413" s="509" t="s">
        <v>830</v>
      </c>
      <c r="G1413" s="510">
        <v>3384963.34</v>
      </c>
      <c r="H1413" s="206">
        <v>42591</v>
      </c>
      <c r="I1413" s="161">
        <v>42731</v>
      </c>
      <c r="J1413" s="162"/>
      <c r="K1413" s="199"/>
      <c r="L1413" s="198"/>
      <c r="M1413" s="199"/>
      <c r="N1413" s="200">
        <v>1</v>
      </c>
      <c r="O1413" s="382"/>
      <c r="P1413" s="457"/>
      <c r="Q1413" s="757" t="s">
        <v>1118</v>
      </c>
      <c r="R1413" s="236"/>
      <c r="S1413" s="68"/>
      <c r="T1413" s="68"/>
      <c r="U1413" s="68"/>
      <c r="V1413" s="68"/>
    </row>
    <row r="1414" spans="1:22" ht="49.5" outlineLevel="1" x14ac:dyDescent="0.25">
      <c r="A1414" s="1028"/>
      <c r="B1414" s="1026"/>
      <c r="C1414" s="758" t="s">
        <v>35</v>
      </c>
      <c r="D1414" s="759">
        <v>589873.74</v>
      </c>
      <c r="E1414" s="758" t="s">
        <v>998</v>
      </c>
      <c r="F1414" s="758" t="s">
        <v>830</v>
      </c>
      <c r="G1414" s="759">
        <v>589873.74</v>
      </c>
      <c r="H1414" s="760">
        <v>42591</v>
      </c>
      <c r="I1414" s="761"/>
      <c r="J1414" s="759"/>
      <c r="K1414" s="759"/>
      <c r="L1414" s="762"/>
      <c r="M1414" s="759"/>
      <c r="N1414" s="228">
        <v>1</v>
      </c>
      <c r="O1414" s="763"/>
      <c r="P1414" s="176"/>
      <c r="Q1414" s="280" t="s">
        <v>1118</v>
      </c>
      <c r="R1414" s="132"/>
    </row>
    <row r="1415" spans="1:22" ht="33" outlineLevel="1" x14ac:dyDescent="0.25">
      <c r="A1415" s="1028"/>
      <c r="B1415" s="1026"/>
      <c r="C1415" s="337" t="s">
        <v>36</v>
      </c>
      <c r="D1415" s="337">
        <v>409059.98</v>
      </c>
      <c r="E1415" s="373" t="s">
        <v>998</v>
      </c>
      <c r="F1415" s="373" t="s">
        <v>830</v>
      </c>
      <c r="G1415" s="374">
        <v>409059.98</v>
      </c>
      <c r="H1415" s="179">
        <v>42591</v>
      </c>
      <c r="I1415" s="172"/>
      <c r="J1415" s="173"/>
      <c r="K1415" s="173"/>
      <c r="L1415" s="171"/>
      <c r="M1415" s="173"/>
      <c r="N1415" s="460">
        <v>0.5</v>
      </c>
      <c r="O1415" s="301"/>
      <c r="P1415" s="176"/>
      <c r="Q1415" s="201" t="s">
        <v>1114</v>
      </c>
      <c r="R1415" s="132"/>
    </row>
    <row r="1416" spans="1:22" ht="49.5" outlineLevel="1" x14ac:dyDescent="0.25">
      <c r="A1416" s="1028"/>
      <c r="B1416" s="1026"/>
      <c r="C1416" s="294" t="s">
        <v>37</v>
      </c>
      <c r="D1416" s="180">
        <v>233307.35</v>
      </c>
      <c r="E1416" s="184" t="s">
        <v>572</v>
      </c>
      <c r="F1416" s="181" t="s">
        <v>541</v>
      </c>
      <c r="G1416" s="182">
        <v>233307.35</v>
      </c>
      <c r="H1416" s="183">
        <v>42377</v>
      </c>
      <c r="I1416" s="183">
        <v>42377</v>
      </c>
      <c r="J1416" s="184">
        <v>233307.35</v>
      </c>
      <c r="K1416" s="184">
        <v>233307.35</v>
      </c>
      <c r="L1416" s="183"/>
      <c r="M1416" s="184">
        <f>J1416-D1416</f>
        <v>0</v>
      </c>
      <c r="N1416" s="202"/>
      <c r="O1416" s="283" t="s">
        <v>728</v>
      </c>
      <c r="P1416" s="176"/>
      <c r="Q1416" s="177"/>
      <c r="R1416" s="132"/>
    </row>
    <row r="1417" spans="1:22" ht="17.25" outlineLevel="1" thickBot="1" x14ac:dyDescent="0.3">
      <c r="A1417" s="1010" t="s">
        <v>628</v>
      </c>
      <c r="B1417" s="1011"/>
      <c r="C1417" s="377"/>
      <c r="D1417" s="378">
        <f>SUM(D1413:D1416)</f>
        <v>4617204.41</v>
      </c>
      <c r="E1417" s="247"/>
      <c r="F1417" s="247"/>
      <c r="G1417" s="379">
        <f>SUM(G1413:G1416)</f>
        <v>4617204.41</v>
      </c>
      <c r="H1417" s="247"/>
      <c r="I1417" s="277"/>
      <c r="J1417" s="378">
        <f>SUM(J1413:J1416)</f>
        <v>233307.35</v>
      </c>
      <c r="K1417" s="378">
        <f>SUM(K1413:K1416)</f>
        <v>233307.35</v>
      </c>
      <c r="L1417" s="380"/>
      <c r="M1417" s="378"/>
      <c r="N1417" s="395">
        <f>AVERAGE(N1413:N1416)</f>
        <v>0.83333333333333337</v>
      </c>
      <c r="O1417" s="381"/>
      <c r="P1417" s="176"/>
      <c r="Q1417" s="177"/>
      <c r="R1417" s="132"/>
    </row>
    <row r="1418" spans="1:22" s="5" customFormat="1" ht="33" x14ac:dyDescent="0.25">
      <c r="A1418" s="1027">
        <v>15</v>
      </c>
      <c r="B1418" s="1025" t="s">
        <v>11</v>
      </c>
      <c r="C1418" s="371" t="s">
        <v>501</v>
      </c>
      <c r="D1418" s="372">
        <v>18820000</v>
      </c>
      <c r="E1418" s="173" t="s">
        <v>1184</v>
      </c>
      <c r="F1418" s="432" t="s">
        <v>794</v>
      </c>
      <c r="G1418" s="459">
        <v>17833479.800000001</v>
      </c>
      <c r="H1418" s="171">
        <v>42886</v>
      </c>
      <c r="I1418" s="224"/>
      <c r="J1418" s="225"/>
      <c r="K1418" s="225"/>
      <c r="L1418" s="226"/>
      <c r="M1418" s="225"/>
      <c r="N1418" s="376">
        <v>0</v>
      </c>
      <c r="O1418" s="370"/>
      <c r="P1418" s="176">
        <v>2017</v>
      </c>
      <c r="Q1418" s="177"/>
      <c r="R1418" s="168"/>
      <c r="S1418" s="19"/>
      <c r="T1418" s="19"/>
      <c r="U1418" s="19"/>
      <c r="V1418" s="19"/>
    </row>
    <row r="1419" spans="1:22" ht="49.5" outlineLevel="1" x14ac:dyDescent="0.25">
      <c r="A1419" s="1028"/>
      <c r="B1419" s="1026"/>
      <c r="C1419" s="356" t="s">
        <v>37</v>
      </c>
      <c r="D1419" s="357">
        <v>85053.95</v>
      </c>
      <c r="E1419" s="361" t="s">
        <v>575</v>
      </c>
      <c r="F1419" s="358" t="s">
        <v>541</v>
      </c>
      <c r="G1419" s="359">
        <v>85053.94</v>
      </c>
      <c r="H1419" s="360">
        <v>42429</v>
      </c>
      <c r="I1419" s="360">
        <v>42593</v>
      </c>
      <c r="J1419" s="361">
        <v>85053.94</v>
      </c>
      <c r="K1419" s="361">
        <v>85053.94</v>
      </c>
      <c r="L1419" s="360"/>
      <c r="M1419" s="361">
        <f>J1419-D1419</f>
        <v>-9.9999999947613105E-3</v>
      </c>
      <c r="N1419" s="362"/>
      <c r="O1419" s="466" t="s">
        <v>728</v>
      </c>
      <c r="P1419" s="176"/>
      <c r="Q1419" s="177"/>
      <c r="R1419" s="132"/>
    </row>
    <row r="1420" spans="1:22" ht="17.25" outlineLevel="1" thickBot="1" x14ac:dyDescent="0.3">
      <c r="A1420" s="1006" t="s">
        <v>628</v>
      </c>
      <c r="B1420" s="1007"/>
      <c r="C1420" s="364"/>
      <c r="D1420" s="365">
        <f>SUM(D1418:D1419)</f>
        <v>18905053.949999999</v>
      </c>
      <c r="E1420" s="239"/>
      <c r="F1420" s="239"/>
      <c r="G1420" s="366">
        <f>SUM(G1418:G1419)</f>
        <v>17918533.740000002</v>
      </c>
      <c r="H1420" s="239"/>
      <c r="I1420" s="321"/>
      <c r="J1420" s="365">
        <f t="shared" ref="J1420" si="124">SUM(J1418:J1419)</f>
        <v>85053.94</v>
      </c>
      <c r="K1420" s="365">
        <f>SUM(K1418:K1419)</f>
        <v>85053.94</v>
      </c>
      <c r="L1420" s="367"/>
      <c r="M1420" s="365"/>
      <c r="N1420" s="368">
        <f>AVERAGE(N1418:N1419)</f>
        <v>0</v>
      </c>
      <c r="O1420" s="369"/>
      <c r="P1420" s="176"/>
      <c r="Q1420" s="177"/>
      <c r="R1420" s="132"/>
    </row>
    <row r="1421" spans="1:22" s="5" customFormat="1" ht="49.5" x14ac:dyDescent="0.25">
      <c r="A1421" s="1027">
        <v>16</v>
      </c>
      <c r="B1421" s="1025" t="s">
        <v>12</v>
      </c>
      <c r="C1421" s="764" t="s">
        <v>34</v>
      </c>
      <c r="D1421" s="759">
        <v>5585354.1799999997</v>
      </c>
      <c r="E1421" s="765" t="s">
        <v>1000</v>
      </c>
      <c r="F1421" s="764" t="s">
        <v>830</v>
      </c>
      <c r="G1421" s="766">
        <v>5585354.1799999997</v>
      </c>
      <c r="H1421" s="767">
        <v>42591</v>
      </c>
      <c r="I1421" s="768"/>
      <c r="J1421" s="765"/>
      <c r="K1421" s="765"/>
      <c r="L1421" s="769"/>
      <c r="M1421" s="765"/>
      <c r="N1421" s="164">
        <v>1</v>
      </c>
      <c r="O1421" s="687"/>
      <c r="P1421" s="176"/>
      <c r="Q1421" s="280" t="s">
        <v>1118</v>
      </c>
      <c r="R1421" s="168"/>
      <c r="S1421" s="19"/>
      <c r="T1421" s="19"/>
      <c r="U1421" s="19"/>
      <c r="V1421" s="19"/>
    </row>
    <row r="1422" spans="1:22" ht="49.5" outlineLevel="1" x14ac:dyDescent="0.25">
      <c r="A1422" s="1028"/>
      <c r="B1422" s="1026"/>
      <c r="C1422" s="758" t="s">
        <v>35</v>
      </c>
      <c r="D1422" s="759">
        <v>818923.54</v>
      </c>
      <c r="E1422" s="770" t="s">
        <v>1000</v>
      </c>
      <c r="F1422" s="758" t="s">
        <v>830</v>
      </c>
      <c r="G1422" s="771">
        <v>818923.54</v>
      </c>
      <c r="H1422" s="760">
        <v>42591</v>
      </c>
      <c r="I1422" s="761"/>
      <c r="J1422" s="759"/>
      <c r="K1422" s="759"/>
      <c r="L1422" s="762"/>
      <c r="M1422" s="759"/>
      <c r="N1422" s="228">
        <v>1</v>
      </c>
      <c r="O1422" s="763"/>
      <c r="P1422" s="176"/>
      <c r="Q1422" s="280" t="s">
        <v>1118</v>
      </c>
      <c r="R1422" s="132"/>
    </row>
    <row r="1423" spans="1:22" ht="33" outlineLevel="1" x14ac:dyDescent="0.25">
      <c r="A1423" s="1028"/>
      <c r="B1423" s="1026"/>
      <c r="C1423" s="337" t="s">
        <v>36</v>
      </c>
      <c r="D1423" s="337">
        <v>606713.52</v>
      </c>
      <c r="E1423" s="173" t="s">
        <v>1000</v>
      </c>
      <c r="F1423" s="373" t="s">
        <v>830</v>
      </c>
      <c r="G1423" s="459">
        <v>606713.52</v>
      </c>
      <c r="H1423" s="179">
        <v>42591</v>
      </c>
      <c r="I1423" s="302"/>
      <c r="J1423" s="303"/>
      <c r="K1423" s="303"/>
      <c r="L1423" s="511"/>
      <c r="M1423" s="303"/>
      <c r="N1423" s="512">
        <v>0.3</v>
      </c>
      <c r="O1423" s="301"/>
      <c r="P1423" s="176"/>
      <c r="Q1423" s="201" t="s">
        <v>1114</v>
      </c>
      <c r="R1423" s="132"/>
    </row>
    <row r="1424" spans="1:22" ht="49.5" outlineLevel="1" x14ac:dyDescent="0.25">
      <c r="A1424" s="1028"/>
      <c r="B1424" s="1026"/>
      <c r="C1424" s="294" t="s">
        <v>37</v>
      </c>
      <c r="D1424" s="184">
        <v>257824.96000000002</v>
      </c>
      <c r="E1424" s="184" t="s">
        <v>572</v>
      </c>
      <c r="F1424" s="181" t="s">
        <v>541</v>
      </c>
      <c r="G1424" s="506">
        <v>257824.96</v>
      </c>
      <c r="H1424" s="183">
        <v>42377</v>
      </c>
      <c r="I1424" s="183">
        <v>42377</v>
      </c>
      <c r="J1424" s="184">
        <v>257824.96000000002</v>
      </c>
      <c r="K1424" s="184">
        <v>257824.96000000002</v>
      </c>
      <c r="L1424" s="183"/>
      <c r="M1424" s="184">
        <f>J1424-D1424</f>
        <v>0</v>
      </c>
      <c r="N1424" s="202"/>
      <c r="O1424" s="283" t="s">
        <v>728</v>
      </c>
      <c r="P1424" s="176"/>
      <c r="Q1424" s="177"/>
      <c r="R1424" s="132"/>
    </row>
    <row r="1425" spans="1:22" ht="33" outlineLevel="1" x14ac:dyDescent="0.25">
      <c r="A1425" s="1028"/>
      <c r="B1425" s="1026"/>
      <c r="C1425" s="337" t="s">
        <v>501</v>
      </c>
      <c r="D1425" s="303">
        <v>16145000</v>
      </c>
      <c r="E1425" s="173" t="s">
        <v>1184</v>
      </c>
      <c r="F1425" s="432" t="s">
        <v>794</v>
      </c>
      <c r="G1425" s="459">
        <v>15121387.550000001</v>
      </c>
      <c r="H1425" s="171">
        <v>42898</v>
      </c>
      <c r="I1425" s="302"/>
      <c r="J1425" s="303"/>
      <c r="K1425" s="303"/>
      <c r="L1425" s="511"/>
      <c r="M1425" s="303"/>
      <c r="N1425" s="772">
        <v>0</v>
      </c>
      <c r="O1425" s="301"/>
      <c r="P1425" s="176">
        <v>2017</v>
      </c>
      <c r="Q1425" s="177"/>
      <c r="R1425" s="132"/>
    </row>
    <row r="1426" spans="1:22" ht="49.5" outlineLevel="1" x14ac:dyDescent="0.25">
      <c r="A1426" s="1028"/>
      <c r="B1426" s="1026"/>
      <c r="C1426" s="356" t="s">
        <v>37</v>
      </c>
      <c r="D1426" s="357">
        <v>95536.23</v>
      </c>
      <c r="E1426" s="361" t="s">
        <v>575</v>
      </c>
      <c r="F1426" s="358" t="s">
        <v>541</v>
      </c>
      <c r="G1426" s="359">
        <v>95536.23</v>
      </c>
      <c r="H1426" s="360">
        <v>42429</v>
      </c>
      <c r="I1426" s="360">
        <v>42593</v>
      </c>
      <c r="J1426" s="361">
        <v>95536.23</v>
      </c>
      <c r="K1426" s="361">
        <v>95536.23</v>
      </c>
      <c r="L1426" s="360"/>
      <c r="M1426" s="361">
        <f>J1426-D1426</f>
        <v>0</v>
      </c>
      <c r="N1426" s="362"/>
      <c r="O1426" s="466"/>
      <c r="P1426" s="176"/>
      <c r="Q1426" s="177"/>
      <c r="R1426" s="132"/>
    </row>
    <row r="1427" spans="1:22" ht="17.25" outlineLevel="1" thickBot="1" x14ac:dyDescent="0.3">
      <c r="A1427" s="1006" t="s">
        <v>628</v>
      </c>
      <c r="B1427" s="1007"/>
      <c r="C1427" s="364"/>
      <c r="D1427" s="365">
        <f>SUM(D1421:D1426)</f>
        <v>23509352.43</v>
      </c>
      <c r="E1427" s="239"/>
      <c r="F1427" s="239"/>
      <c r="G1427" s="366">
        <f>SUM(G1421:G1426)</f>
        <v>22485739.98</v>
      </c>
      <c r="H1427" s="239"/>
      <c r="I1427" s="321"/>
      <c r="J1427" s="365">
        <f>SUM(J1421:J1426)</f>
        <v>353361.19</v>
      </c>
      <c r="K1427" s="365">
        <f>SUM(K1421:K1426)</f>
        <v>353361.19</v>
      </c>
      <c r="L1427" s="367"/>
      <c r="M1427" s="365"/>
      <c r="N1427" s="368">
        <f>AVERAGE(N1421:N1426)</f>
        <v>0.57499999999999996</v>
      </c>
      <c r="O1427" s="369"/>
      <c r="P1427" s="176"/>
      <c r="Q1427" s="177"/>
      <c r="R1427" s="132"/>
    </row>
    <row r="1428" spans="1:22" s="5" customFormat="1" ht="33" x14ac:dyDescent="0.25">
      <c r="A1428" s="1027">
        <v>17</v>
      </c>
      <c r="B1428" s="1025" t="s">
        <v>306</v>
      </c>
      <c r="C1428" s="371" t="s">
        <v>501</v>
      </c>
      <c r="D1428" s="372">
        <v>16230000</v>
      </c>
      <c r="E1428" s="173" t="s">
        <v>1184</v>
      </c>
      <c r="F1428" s="432" t="s">
        <v>794</v>
      </c>
      <c r="G1428" s="459">
        <v>15213117.68</v>
      </c>
      <c r="H1428" s="171">
        <v>42911</v>
      </c>
      <c r="I1428" s="224"/>
      <c r="J1428" s="225"/>
      <c r="K1428" s="225"/>
      <c r="L1428" s="226"/>
      <c r="M1428" s="225"/>
      <c r="N1428" s="376">
        <v>0</v>
      </c>
      <c r="O1428" s="370"/>
      <c r="P1428" s="176">
        <v>2017</v>
      </c>
      <c r="Q1428" s="177"/>
      <c r="R1428" s="168"/>
      <c r="S1428" s="19"/>
      <c r="T1428" s="19"/>
      <c r="U1428" s="19"/>
      <c r="V1428" s="19"/>
    </row>
    <row r="1429" spans="1:22" ht="49.5" outlineLevel="1" x14ac:dyDescent="0.25">
      <c r="A1429" s="1028"/>
      <c r="B1429" s="1026"/>
      <c r="C1429" s="356" t="s">
        <v>37</v>
      </c>
      <c r="D1429" s="357">
        <v>95536.24</v>
      </c>
      <c r="E1429" s="361" t="s">
        <v>575</v>
      </c>
      <c r="F1429" s="358" t="s">
        <v>541</v>
      </c>
      <c r="G1429" s="359">
        <v>95536.23</v>
      </c>
      <c r="H1429" s="360">
        <v>42429</v>
      </c>
      <c r="I1429" s="360">
        <v>42593</v>
      </c>
      <c r="J1429" s="361">
        <v>95536.23</v>
      </c>
      <c r="K1429" s="361">
        <v>95536.23</v>
      </c>
      <c r="L1429" s="360"/>
      <c r="M1429" s="361">
        <f>J1429-D1429</f>
        <v>-1.0000000009313226E-2</v>
      </c>
      <c r="N1429" s="362"/>
      <c r="O1429" s="466" t="s">
        <v>728</v>
      </c>
      <c r="P1429" s="176"/>
      <c r="Q1429" s="177"/>
      <c r="R1429" s="132"/>
    </row>
    <row r="1430" spans="1:22" ht="17.25" outlineLevel="1" thickBot="1" x14ac:dyDescent="0.3">
      <c r="A1430" s="1006" t="s">
        <v>628</v>
      </c>
      <c r="B1430" s="1007"/>
      <c r="C1430" s="364"/>
      <c r="D1430" s="365">
        <f>SUM(D1428:D1429)</f>
        <v>16325536.24</v>
      </c>
      <c r="E1430" s="239"/>
      <c r="F1430" s="239"/>
      <c r="G1430" s="366">
        <f>SUM(G1428:G1429)</f>
        <v>15308653.91</v>
      </c>
      <c r="H1430" s="239"/>
      <c r="I1430" s="321"/>
      <c r="J1430" s="365">
        <f t="shared" ref="J1430" si="125">SUM(J1428:J1429)</f>
        <v>95536.23</v>
      </c>
      <c r="K1430" s="365">
        <f>SUM(K1428:K1429)</f>
        <v>95536.23</v>
      </c>
      <c r="L1430" s="367"/>
      <c r="M1430" s="365"/>
      <c r="N1430" s="368">
        <f>AVERAGE(N1428:N1429)</f>
        <v>0</v>
      </c>
      <c r="O1430" s="369"/>
      <c r="P1430" s="176"/>
      <c r="Q1430" s="177"/>
      <c r="R1430" s="132"/>
    </row>
    <row r="1431" spans="1:22" s="5" customFormat="1" ht="49.5" x14ac:dyDescent="0.25">
      <c r="A1431" s="1027">
        <v>18</v>
      </c>
      <c r="B1431" s="1025" t="s">
        <v>13</v>
      </c>
      <c r="C1431" s="764" t="s">
        <v>34</v>
      </c>
      <c r="D1431" s="759">
        <v>3232025.9</v>
      </c>
      <c r="E1431" s="773" t="s">
        <v>998</v>
      </c>
      <c r="F1431" s="764" t="s">
        <v>830</v>
      </c>
      <c r="G1431" s="766">
        <v>3232025.9</v>
      </c>
      <c r="H1431" s="767">
        <v>42591</v>
      </c>
      <c r="I1431" s="774"/>
      <c r="J1431" s="775"/>
      <c r="K1431" s="775"/>
      <c r="L1431" s="776"/>
      <c r="M1431" s="775"/>
      <c r="N1431" s="164">
        <v>1</v>
      </c>
      <c r="O1431" s="687"/>
      <c r="P1431" s="176"/>
      <c r="Q1431" s="280" t="s">
        <v>1118</v>
      </c>
      <c r="R1431" s="168"/>
      <c r="S1431" s="19"/>
      <c r="T1431" s="19"/>
      <c r="U1431" s="19"/>
      <c r="V1431" s="19"/>
    </row>
    <row r="1432" spans="1:22" ht="49.5" outlineLevel="1" x14ac:dyDescent="0.25">
      <c r="A1432" s="1028"/>
      <c r="B1432" s="1026"/>
      <c r="C1432" s="758" t="s">
        <v>35</v>
      </c>
      <c r="D1432" s="759">
        <v>439685.7</v>
      </c>
      <c r="E1432" s="777" t="s">
        <v>998</v>
      </c>
      <c r="F1432" s="778" t="s">
        <v>830</v>
      </c>
      <c r="G1432" s="771">
        <v>439685.7</v>
      </c>
      <c r="H1432" s="760">
        <v>42591</v>
      </c>
      <c r="I1432" s="761"/>
      <c r="J1432" s="759"/>
      <c r="K1432" s="759"/>
      <c r="L1432" s="762"/>
      <c r="M1432" s="759"/>
      <c r="N1432" s="228">
        <v>1</v>
      </c>
      <c r="O1432" s="763"/>
      <c r="P1432" s="176"/>
      <c r="Q1432" s="280" t="s">
        <v>1118</v>
      </c>
      <c r="R1432" s="132"/>
    </row>
    <row r="1433" spans="1:22" ht="33" outlineLevel="1" x14ac:dyDescent="0.25">
      <c r="A1433" s="1028"/>
      <c r="B1433" s="1026"/>
      <c r="C1433" s="337" t="s">
        <v>36</v>
      </c>
      <c r="D1433" s="337">
        <v>465757.8</v>
      </c>
      <c r="E1433" s="432" t="s">
        <v>998</v>
      </c>
      <c r="F1433" s="432" t="s">
        <v>830</v>
      </c>
      <c r="G1433" s="459">
        <v>465757.8</v>
      </c>
      <c r="H1433" s="179">
        <v>42591</v>
      </c>
      <c r="I1433" s="172"/>
      <c r="J1433" s="173"/>
      <c r="K1433" s="173"/>
      <c r="L1433" s="171"/>
      <c r="M1433" s="173"/>
      <c r="N1433" s="460">
        <v>0.15</v>
      </c>
      <c r="O1433" s="301"/>
      <c r="P1433" s="176"/>
      <c r="Q1433" s="201" t="s">
        <v>1114</v>
      </c>
      <c r="R1433" s="132"/>
    </row>
    <row r="1434" spans="1:22" ht="49.5" outlineLevel="1" x14ac:dyDescent="0.25">
      <c r="A1434" s="1028"/>
      <c r="B1434" s="1026"/>
      <c r="C1434" s="294" t="s">
        <v>37</v>
      </c>
      <c r="D1434" s="180">
        <v>174032.17</v>
      </c>
      <c r="E1434" s="184" t="s">
        <v>572</v>
      </c>
      <c r="F1434" s="181" t="s">
        <v>541</v>
      </c>
      <c r="G1434" s="182">
        <v>174032.16</v>
      </c>
      <c r="H1434" s="183">
        <v>42377</v>
      </c>
      <c r="I1434" s="183">
        <v>42377</v>
      </c>
      <c r="J1434" s="184">
        <v>174032.17</v>
      </c>
      <c r="K1434" s="184">
        <v>174032.17</v>
      </c>
      <c r="L1434" s="183"/>
      <c r="M1434" s="184">
        <f>J1434-D1434</f>
        <v>0</v>
      </c>
      <c r="N1434" s="202"/>
      <c r="O1434" s="283" t="s">
        <v>728</v>
      </c>
      <c r="P1434" s="176"/>
      <c r="Q1434" s="177"/>
      <c r="R1434" s="132"/>
    </row>
    <row r="1435" spans="1:22" ht="17.25" outlineLevel="1" thickBot="1" x14ac:dyDescent="0.3">
      <c r="A1435" s="1010" t="s">
        <v>628</v>
      </c>
      <c r="B1435" s="1011"/>
      <c r="C1435" s="377"/>
      <c r="D1435" s="365">
        <f>SUM(D1431:D1434)</f>
        <v>4311501.57</v>
      </c>
      <c r="E1435" s="247"/>
      <c r="F1435" s="247"/>
      <c r="G1435" s="379">
        <f>SUM(G1431:G1434)</f>
        <v>4311501.5599999996</v>
      </c>
      <c r="H1435" s="247"/>
      <c r="I1435" s="277"/>
      <c r="J1435" s="378">
        <f>SUM(J1431:J1434)</f>
        <v>174032.17</v>
      </c>
      <c r="K1435" s="378">
        <f>SUM(K1431:K1434)</f>
        <v>174032.17</v>
      </c>
      <c r="L1435" s="380"/>
      <c r="M1435" s="378"/>
      <c r="N1435" s="395">
        <f>AVERAGE(N1431:N1434)</f>
        <v>0.71666666666666667</v>
      </c>
      <c r="O1435" s="381"/>
      <c r="P1435" s="176"/>
      <c r="Q1435" s="177"/>
      <c r="R1435" s="132"/>
    </row>
    <row r="1436" spans="1:22" s="5" customFormat="1" ht="49.5" x14ac:dyDescent="0.25">
      <c r="A1436" s="1027">
        <v>19</v>
      </c>
      <c r="B1436" s="1025" t="s">
        <v>14</v>
      </c>
      <c r="C1436" s="764" t="s">
        <v>34</v>
      </c>
      <c r="D1436" s="779">
        <v>3042096.64</v>
      </c>
      <c r="E1436" s="773" t="s">
        <v>998</v>
      </c>
      <c r="F1436" s="773" t="s">
        <v>830</v>
      </c>
      <c r="G1436" s="766">
        <v>3042096.64</v>
      </c>
      <c r="H1436" s="767">
        <v>42591</v>
      </c>
      <c r="I1436" s="774"/>
      <c r="J1436" s="775"/>
      <c r="K1436" s="775"/>
      <c r="L1436" s="776"/>
      <c r="M1436" s="775"/>
      <c r="N1436" s="164">
        <v>1</v>
      </c>
      <c r="O1436" s="687"/>
      <c r="P1436" s="176"/>
      <c r="Q1436" s="280" t="s">
        <v>1118</v>
      </c>
      <c r="R1436" s="168"/>
      <c r="S1436" s="19"/>
      <c r="T1436" s="19"/>
      <c r="U1436" s="19"/>
      <c r="V1436" s="19"/>
    </row>
    <row r="1437" spans="1:22" ht="33" outlineLevel="1" x14ac:dyDescent="0.25">
      <c r="A1437" s="1028"/>
      <c r="B1437" s="1026"/>
      <c r="C1437" s="337" t="s">
        <v>35</v>
      </c>
      <c r="D1437" s="303">
        <v>484096.18</v>
      </c>
      <c r="E1437" s="247" t="s">
        <v>998</v>
      </c>
      <c r="F1437" s="247" t="s">
        <v>830</v>
      </c>
      <c r="G1437" s="521">
        <v>484096.18</v>
      </c>
      <c r="H1437" s="171">
        <v>42591</v>
      </c>
      <c r="I1437" s="172"/>
      <c r="J1437" s="173"/>
      <c r="K1437" s="173"/>
      <c r="L1437" s="496"/>
      <c r="M1437" s="173"/>
      <c r="N1437" s="305">
        <v>0.15</v>
      </c>
      <c r="O1437" s="299"/>
      <c r="P1437" s="176"/>
      <c r="Q1437" s="201" t="s">
        <v>1114</v>
      </c>
      <c r="R1437" s="132"/>
    </row>
    <row r="1438" spans="1:22" ht="33" outlineLevel="1" x14ac:dyDescent="0.25">
      <c r="A1438" s="1028"/>
      <c r="B1438" s="1026"/>
      <c r="C1438" s="337" t="s">
        <v>36</v>
      </c>
      <c r="D1438" s="337">
        <v>565851.30000000005</v>
      </c>
      <c r="E1438" s="432" t="s">
        <v>998</v>
      </c>
      <c r="F1438" s="432" t="s">
        <v>830</v>
      </c>
      <c r="G1438" s="459">
        <v>565859.30000000005</v>
      </c>
      <c r="H1438" s="179">
        <v>42591</v>
      </c>
      <c r="I1438" s="172"/>
      <c r="J1438" s="173"/>
      <c r="K1438" s="173"/>
      <c r="L1438" s="171"/>
      <c r="M1438" s="173"/>
      <c r="N1438" s="460">
        <v>0.15</v>
      </c>
      <c r="O1438" s="301"/>
      <c r="P1438" s="176"/>
      <c r="Q1438" s="201" t="s">
        <v>1114</v>
      </c>
      <c r="R1438" s="132"/>
    </row>
    <row r="1439" spans="1:22" ht="49.5" outlineLevel="1" x14ac:dyDescent="0.25">
      <c r="A1439" s="1028"/>
      <c r="B1439" s="1026"/>
      <c r="C1439" s="294" t="s">
        <v>37</v>
      </c>
      <c r="D1439" s="180">
        <v>175957.52</v>
      </c>
      <c r="E1439" s="184" t="s">
        <v>572</v>
      </c>
      <c r="F1439" s="181" t="s">
        <v>541</v>
      </c>
      <c r="G1439" s="182">
        <v>175957.52</v>
      </c>
      <c r="H1439" s="183">
        <v>42377</v>
      </c>
      <c r="I1439" s="183">
        <v>42377</v>
      </c>
      <c r="J1439" s="184">
        <v>175957.52</v>
      </c>
      <c r="K1439" s="184">
        <v>175957.52</v>
      </c>
      <c r="L1439" s="183"/>
      <c r="M1439" s="184">
        <f>J1439-D1439</f>
        <v>0</v>
      </c>
      <c r="N1439" s="202"/>
      <c r="O1439" s="283" t="s">
        <v>728</v>
      </c>
      <c r="P1439" s="176"/>
      <c r="Q1439" s="177"/>
      <c r="R1439" s="132"/>
    </row>
    <row r="1440" spans="1:22" ht="17.25" outlineLevel="1" thickBot="1" x14ac:dyDescent="0.3">
      <c r="A1440" s="1006" t="s">
        <v>628</v>
      </c>
      <c r="B1440" s="1007"/>
      <c r="C1440" s="364"/>
      <c r="D1440" s="378">
        <f>SUM(D1436:D1439)</f>
        <v>4268001.6399999997</v>
      </c>
      <c r="E1440" s="239"/>
      <c r="F1440" s="239"/>
      <c r="G1440" s="379">
        <f>SUM(G1436:G1439)</f>
        <v>4268009.6399999997</v>
      </c>
      <c r="H1440" s="239"/>
      <c r="I1440" s="321"/>
      <c r="J1440" s="378">
        <f>SUM(J1436:J1439)</f>
        <v>175957.52</v>
      </c>
      <c r="K1440" s="378">
        <f>SUM(K1436:K1439)</f>
        <v>175957.52</v>
      </c>
      <c r="L1440" s="380"/>
      <c r="M1440" s="378"/>
      <c r="N1440" s="395">
        <f>AVERAGE(N1436:N1439)</f>
        <v>0.43333333333333329</v>
      </c>
      <c r="O1440" s="369"/>
      <c r="P1440" s="176"/>
      <c r="Q1440" s="177"/>
      <c r="R1440" s="132"/>
    </row>
    <row r="1441" spans="1:22" s="5" customFormat="1" ht="49.5" x14ac:dyDescent="0.25">
      <c r="A1441" s="1027">
        <v>20</v>
      </c>
      <c r="B1441" s="1025" t="s">
        <v>15</v>
      </c>
      <c r="C1441" s="764" t="s">
        <v>38</v>
      </c>
      <c r="D1441" s="765">
        <v>229718.86</v>
      </c>
      <c r="E1441" s="764" t="s">
        <v>999</v>
      </c>
      <c r="F1441" s="780" t="s">
        <v>830</v>
      </c>
      <c r="G1441" s="766">
        <v>229718.86</v>
      </c>
      <c r="H1441" s="767">
        <v>42591</v>
      </c>
      <c r="I1441" s="774"/>
      <c r="J1441" s="775"/>
      <c r="K1441" s="775"/>
      <c r="L1441" s="776"/>
      <c r="M1441" s="775"/>
      <c r="N1441" s="164">
        <v>1</v>
      </c>
      <c r="O1441" s="687"/>
      <c r="P1441" s="176"/>
      <c r="Q1441" s="280" t="s">
        <v>1118</v>
      </c>
      <c r="R1441" s="168"/>
      <c r="S1441" s="19"/>
      <c r="T1441" s="19"/>
      <c r="U1441" s="19"/>
      <c r="V1441" s="19"/>
    </row>
    <row r="1442" spans="1:22" ht="49.5" outlineLevel="1" x14ac:dyDescent="0.25">
      <c r="A1442" s="1028"/>
      <c r="B1442" s="1026"/>
      <c r="C1442" s="294" t="s">
        <v>37</v>
      </c>
      <c r="D1442" s="180">
        <v>67961.45</v>
      </c>
      <c r="E1442" s="184" t="s">
        <v>572</v>
      </c>
      <c r="F1442" s="181" t="s">
        <v>541</v>
      </c>
      <c r="G1442" s="182">
        <v>67961.429999999993</v>
      </c>
      <c r="H1442" s="183">
        <v>42377</v>
      </c>
      <c r="I1442" s="183">
        <v>42377</v>
      </c>
      <c r="J1442" s="184">
        <v>67961.45</v>
      </c>
      <c r="K1442" s="184">
        <v>67961.45</v>
      </c>
      <c r="L1442" s="183"/>
      <c r="M1442" s="184">
        <f>J1442-D1442</f>
        <v>0</v>
      </c>
      <c r="N1442" s="202"/>
      <c r="O1442" s="283" t="s">
        <v>728</v>
      </c>
      <c r="P1442" s="176"/>
      <c r="Q1442" s="177"/>
      <c r="R1442" s="132"/>
    </row>
    <row r="1443" spans="1:22" ht="17.25" outlineLevel="1" thickBot="1" x14ac:dyDescent="0.3">
      <c r="A1443" s="1006" t="s">
        <v>628</v>
      </c>
      <c r="B1443" s="1007"/>
      <c r="C1443" s="364"/>
      <c r="D1443" s="365">
        <f>SUM(D1441:D1442)</f>
        <v>297680.31</v>
      </c>
      <c r="E1443" s="239"/>
      <c r="F1443" s="239"/>
      <c r="G1443" s="366">
        <f>SUM(G1441:G1442)</f>
        <v>297680.28999999998</v>
      </c>
      <c r="H1443" s="239"/>
      <c r="I1443" s="321"/>
      <c r="J1443" s="365">
        <f>SUM(J1441:J1442)</f>
        <v>67961.45</v>
      </c>
      <c r="K1443" s="365">
        <f>SUM(K1441:K1442)</f>
        <v>67961.45</v>
      </c>
      <c r="L1443" s="367"/>
      <c r="M1443" s="365"/>
      <c r="N1443" s="368">
        <f>AVERAGE(N1441:N1442)</f>
        <v>1</v>
      </c>
      <c r="O1443" s="369"/>
      <c r="P1443" s="176"/>
      <c r="Q1443" s="177"/>
      <c r="R1443" s="132"/>
    </row>
    <row r="1444" spans="1:22" s="5" customFormat="1" ht="28.5" customHeight="1" x14ac:dyDescent="0.25">
      <c r="A1444" s="1136">
        <v>21</v>
      </c>
      <c r="B1444" s="1137" t="s">
        <v>307</v>
      </c>
      <c r="C1444" s="197" t="s">
        <v>500</v>
      </c>
      <c r="D1444" s="162">
        <v>2446133.85</v>
      </c>
      <c r="E1444" s="197" t="s">
        <v>929</v>
      </c>
      <c r="F1444" s="197" t="s">
        <v>930</v>
      </c>
      <c r="G1444" s="353">
        <v>2704057</v>
      </c>
      <c r="H1444" s="161">
        <v>42640</v>
      </c>
      <c r="I1444" s="161">
        <v>42628</v>
      </c>
      <c r="J1444" s="477">
        <v>2446133.85</v>
      </c>
      <c r="K1444" s="477">
        <v>2446133.85</v>
      </c>
      <c r="L1444" s="161"/>
      <c r="M1444" s="162"/>
      <c r="N1444" s="200">
        <v>1</v>
      </c>
      <c r="O1444" s="370"/>
      <c r="P1444" s="176"/>
      <c r="Q1444" s="177"/>
      <c r="R1444" s="168"/>
      <c r="S1444" s="19"/>
      <c r="T1444" s="19"/>
      <c r="U1444" s="19"/>
      <c r="V1444" s="19"/>
    </row>
    <row r="1445" spans="1:22" ht="49.5" outlineLevel="1" x14ac:dyDescent="0.25">
      <c r="A1445" s="1062"/>
      <c r="B1445" s="1061"/>
      <c r="C1445" s="356" t="s">
        <v>37</v>
      </c>
      <c r="D1445" s="357">
        <v>87290.73</v>
      </c>
      <c r="E1445" s="361" t="s">
        <v>575</v>
      </c>
      <c r="F1445" s="358" t="s">
        <v>541</v>
      </c>
      <c r="G1445" s="359">
        <v>87290.71</v>
      </c>
      <c r="H1445" s="360">
        <v>42429</v>
      </c>
      <c r="I1445" s="360">
        <v>42593</v>
      </c>
      <c r="J1445" s="361">
        <v>87290.71</v>
      </c>
      <c r="K1445" s="361">
        <v>87290.71</v>
      </c>
      <c r="L1445" s="360"/>
      <c r="M1445" s="361">
        <f>J1445-D1445</f>
        <v>-1.9999999989522621E-2</v>
      </c>
      <c r="N1445" s="362"/>
      <c r="O1445" s="466" t="s">
        <v>728</v>
      </c>
      <c r="P1445" s="176"/>
      <c r="Q1445" s="177"/>
      <c r="R1445" s="132"/>
    </row>
    <row r="1446" spans="1:22" ht="17.25" outlineLevel="1" thickBot="1" x14ac:dyDescent="0.3">
      <c r="A1446" s="1006" t="s">
        <v>628</v>
      </c>
      <c r="B1446" s="1007"/>
      <c r="C1446" s="364"/>
      <c r="D1446" s="365">
        <f>SUM(D1444:D1445)</f>
        <v>2533424.58</v>
      </c>
      <c r="E1446" s="239"/>
      <c r="F1446" s="239"/>
      <c r="G1446" s="366">
        <f>SUM(G1444:G1445)</f>
        <v>2791347.71</v>
      </c>
      <c r="H1446" s="239"/>
      <c r="I1446" s="321"/>
      <c r="J1446" s="365">
        <f t="shared" ref="J1446" si="126">SUM(J1444:J1445)</f>
        <v>2533424.56</v>
      </c>
      <c r="K1446" s="365">
        <f>SUM(K1444:K1445)</f>
        <v>2533424.56</v>
      </c>
      <c r="L1446" s="367"/>
      <c r="M1446" s="365"/>
      <c r="N1446" s="368">
        <f>AVERAGE(N1444:N1445)</f>
        <v>1</v>
      </c>
      <c r="O1446" s="369"/>
      <c r="P1446" s="176"/>
      <c r="Q1446" s="177"/>
      <c r="R1446" s="132"/>
    </row>
    <row r="1447" spans="1:22" s="93" customFormat="1" ht="19.5" customHeight="1" outlineLevel="1" thickBot="1" x14ac:dyDescent="0.3">
      <c r="A1447" s="781"/>
      <c r="B1447" s="1144" t="s">
        <v>1097</v>
      </c>
      <c r="C1447" s="1145"/>
      <c r="D1447" s="782">
        <v>2013019.82</v>
      </c>
      <c r="E1447" s="783"/>
      <c r="F1447" s="784"/>
      <c r="G1447" s="785">
        <f>SUM(G1448:G1459)</f>
        <v>2013019.82</v>
      </c>
      <c r="H1447" s="786"/>
      <c r="I1447" s="787"/>
      <c r="J1447" s="782"/>
      <c r="K1447" s="788"/>
      <c r="L1447" s="789"/>
      <c r="M1447" s="790"/>
      <c r="N1447" s="791"/>
      <c r="O1447" s="792"/>
      <c r="P1447" s="793"/>
      <c r="Q1447" s="794"/>
      <c r="R1447" s="795"/>
      <c r="S1447" s="92"/>
      <c r="T1447" s="92"/>
      <c r="U1447" s="92"/>
      <c r="V1447" s="92"/>
    </row>
    <row r="1448" spans="1:22" s="94" customFormat="1" ht="33" customHeight="1" outlineLevel="1" x14ac:dyDescent="0.25">
      <c r="A1448" s="796"/>
      <c r="B1448" s="1151" t="s">
        <v>1289</v>
      </c>
      <c r="C1448" s="400" t="s">
        <v>37</v>
      </c>
      <c r="D1448" s="797"/>
      <c r="E1448" s="689" t="s">
        <v>1296</v>
      </c>
      <c r="F1448" s="403" t="s">
        <v>1298</v>
      </c>
      <c r="G1448" s="575">
        <v>251773.06</v>
      </c>
      <c r="H1448" s="179"/>
      <c r="I1448" s="798"/>
      <c r="J1448" s="799"/>
      <c r="K1448" s="799"/>
      <c r="L1448" s="800"/>
      <c r="M1448" s="799"/>
      <c r="N1448" s="801"/>
      <c r="O1448" s="802"/>
      <c r="P1448" s="803"/>
      <c r="Q1448" s="804"/>
      <c r="R1448" s="795"/>
      <c r="S1448" s="92"/>
      <c r="T1448" s="92"/>
      <c r="U1448" s="92"/>
      <c r="V1448" s="92"/>
    </row>
    <row r="1449" spans="1:22" s="94" customFormat="1" ht="33" customHeight="1" outlineLevel="1" x14ac:dyDescent="0.25">
      <c r="A1449" s="796"/>
      <c r="B1449" s="1066"/>
      <c r="C1449" s="337" t="s">
        <v>37</v>
      </c>
      <c r="D1449" s="805"/>
      <c r="E1449" s="702" t="s">
        <v>1299</v>
      </c>
      <c r="F1449" s="173" t="s">
        <v>862</v>
      </c>
      <c r="G1449" s="339">
        <v>65432.18</v>
      </c>
      <c r="H1449" s="171">
        <v>42791</v>
      </c>
      <c r="I1449" s="798"/>
      <c r="J1449" s="799"/>
      <c r="K1449" s="799"/>
      <c r="L1449" s="800"/>
      <c r="M1449" s="799"/>
      <c r="N1449" s="801"/>
      <c r="O1449" s="802"/>
      <c r="P1449" s="803"/>
      <c r="Q1449" s="804"/>
      <c r="R1449" s="795"/>
      <c r="S1449" s="92"/>
      <c r="T1449" s="92"/>
      <c r="U1449" s="92"/>
      <c r="V1449" s="92"/>
    </row>
    <row r="1450" spans="1:22" s="94" customFormat="1" ht="35.25" customHeight="1" outlineLevel="1" x14ac:dyDescent="0.25">
      <c r="A1450" s="796"/>
      <c r="B1450" s="1066" t="s">
        <v>1290</v>
      </c>
      <c r="C1450" s="337" t="s">
        <v>37</v>
      </c>
      <c r="D1450" s="805"/>
      <c r="E1450" s="702" t="s">
        <v>1296</v>
      </c>
      <c r="F1450" s="173" t="s">
        <v>1298</v>
      </c>
      <c r="G1450" s="339">
        <v>281052.40000000002</v>
      </c>
      <c r="H1450" s="171">
        <v>42732</v>
      </c>
      <c r="I1450" s="798"/>
      <c r="J1450" s="799"/>
      <c r="K1450" s="799"/>
      <c r="L1450" s="800"/>
      <c r="M1450" s="799"/>
      <c r="N1450" s="801"/>
      <c r="O1450" s="802"/>
      <c r="P1450" s="803"/>
      <c r="Q1450" s="804"/>
      <c r="R1450" s="795"/>
      <c r="S1450" s="92"/>
      <c r="T1450" s="92"/>
      <c r="U1450" s="92"/>
      <c r="V1450" s="92"/>
    </row>
    <row r="1451" spans="1:22" s="94" customFormat="1" ht="32.25" customHeight="1" outlineLevel="1" x14ac:dyDescent="0.25">
      <c r="A1451" s="796"/>
      <c r="B1451" s="1066"/>
      <c r="C1451" s="337" t="s">
        <v>37</v>
      </c>
      <c r="D1451" s="805"/>
      <c r="E1451" s="702" t="s">
        <v>1299</v>
      </c>
      <c r="F1451" s="173" t="s">
        <v>862</v>
      </c>
      <c r="G1451" s="339">
        <v>82077.259999999995</v>
      </c>
      <c r="H1451" s="171">
        <v>42791</v>
      </c>
      <c r="I1451" s="798"/>
      <c r="J1451" s="799"/>
      <c r="K1451" s="799"/>
      <c r="L1451" s="800"/>
      <c r="M1451" s="799"/>
      <c r="N1451" s="801"/>
      <c r="O1451" s="802"/>
      <c r="P1451" s="803"/>
      <c r="Q1451" s="804"/>
      <c r="R1451" s="795"/>
      <c r="S1451" s="92"/>
      <c r="T1451" s="92"/>
      <c r="U1451" s="92"/>
      <c r="V1451" s="92"/>
    </row>
    <row r="1452" spans="1:22" s="94" customFormat="1" ht="31.5" customHeight="1" outlineLevel="1" x14ac:dyDescent="0.25">
      <c r="A1452" s="796"/>
      <c r="B1452" s="1066" t="s">
        <v>1291</v>
      </c>
      <c r="C1452" s="337" t="s">
        <v>37</v>
      </c>
      <c r="D1452" s="805"/>
      <c r="E1452" s="702" t="s">
        <v>1296</v>
      </c>
      <c r="F1452" s="173" t="s">
        <v>1298</v>
      </c>
      <c r="G1452" s="339">
        <v>277687.03999999998</v>
      </c>
      <c r="H1452" s="171">
        <v>42732</v>
      </c>
      <c r="I1452" s="798"/>
      <c r="J1452" s="799"/>
      <c r="K1452" s="799"/>
      <c r="L1452" s="800"/>
      <c r="M1452" s="799"/>
      <c r="N1452" s="801"/>
      <c r="O1452" s="802"/>
      <c r="P1452" s="803"/>
      <c r="Q1452" s="804"/>
      <c r="R1452" s="795"/>
      <c r="S1452" s="92"/>
      <c r="T1452" s="92"/>
      <c r="U1452" s="92"/>
      <c r="V1452" s="92"/>
    </row>
    <row r="1453" spans="1:22" s="94" customFormat="1" ht="22.5" customHeight="1" outlineLevel="1" x14ac:dyDescent="0.25">
      <c r="A1453" s="796"/>
      <c r="B1453" s="1066"/>
      <c r="C1453" s="337" t="s">
        <v>37</v>
      </c>
      <c r="D1453" s="805"/>
      <c r="E1453" s="702" t="s">
        <v>1299</v>
      </c>
      <c r="F1453" s="173" t="s">
        <v>862</v>
      </c>
      <c r="G1453" s="339">
        <v>162618.16</v>
      </c>
      <c r="H1453" s="171">
        <v>42791</v>
      </c>
      <c r="I1453" s="798"/>
      <c r="J1453" s="799"/>
      <c r="K1453" s="799"/>
      <c r="L1453" s="800"/>
      <c r="M1453" s="799"/>
      <c r="N1453" s="801"/>
      <c r="O1453" s="802"/>
      <c r="P1453" s="803"/>
      <c r="Q1453" s="804"/>
      <c r="R1453" s="795"/>
      <c r="S1453" s="92"/>
      <c r="T1453" s="92"/>
      <c r="U1453" s="92"/>
      <c r="V1453" s="92"/>
    </row>
    <row r="1454" spans="1:22" s="94" customFormat="1" ht="27" customHeight="1" outlineLevel="1" x14ac:dyDescent="0.25">
      <c r="A1454" s="796"/>
      <c r="B1454" s="1066" t="s">
        <v>1292</v>
      </c>
      <c r="C1454" s="337" t="s">
        <v>37</v>
      </c>
      <c r="D1454" s="805"/>
      <c r="E1454" s="702" t="s">
        <v>1296</v>
      </c>
      <c r="F1454" s="173" t="s">
        <v>1298</v>
      </c>
      <c r="G1454" s="339">
        <v>252641.54</v>
      </c>
      <c r="H1454" s="171">
        <v>42732</v>
      </c>
      <c r="I1454" s="798"/>
      <c r="J1454" s="799"/>
      <c r="K1454" s="799"/>
      <c r="L1454" s="800"/>
      <c r="M1454" s="799"/>
      <c r="N1454" s="801"/>
      <c r="O1454" s="802"/>
      <c r="P1454" s="803"/>
      <c r="Q1454" s="804"/>
      <c r="R1454" s="795"/>
      <c r="S1454" s="92"/>
      <c r="T1454" s="92"/>
      <c r="U1454" s="92"/>
      <c r="V1454" s="92"/>
    </row>
    <row r="1455" spans="1:22" s="94" customFormat="1" ht="31.5" customHeight="1" outlineLevel="1" x14ac:dyDescent="0.25">
      <c r="A1455" s="796"/>
      <c r="B1455" s="1066"/>
      <c r="C1455" s="337" t="s">
        <v>37</v>
      </c>
      <c r="D1455" s="805"/>
      <c r="E1455" s="702" t="s">
        <v>1299</v>
      </c>
      <c r="F1455" s="173" t="s">
        <v>862</v>
      </c>
      <c r="G1455" s="339">
        <v>152735.66</v>
      </c>
      <c r="H1455" s="171">
        <v>42791</v>
      </c>
      <c r="I1455" s="798"/>
      <c r="J1455" s="799"/>
      <c r="K1455" s="799"/>
      <c r="L1455" s="800"/>
      <c r="M1455" s="799"/>
      <c r="N1455" s="801"/>
      <c r="O1455" s="802"/>
      <c r="P1455" s="803"/>
      <c r="Q1455" s="804"/>
      <c r="R1455" s="795"/>
      <c r="S1455" s="92"/>
      <c r="T1455" s="92"/>
      <c r="U1455" s="92"/>
      <c r="V1455" s="92"/>
    </row>
    <row r="1456" spans="1:22" s="94" customFormat="1" ht="34.5" customHeight="1" outlineLevel="1" x14ac:dyDescent="0.25">
      <c r="A1456" s="796"/>
      <c r="B1456" s="806" t="s">
        <v>13</v>
      </c>
      <c r="C1456" s="337" t="s">
        <v>37</v>
      </c>
      <c r="D1456" s="805"/>
      <c r="E1456" s="996" t="s">
        <v>1299</v>
      </c>
      <c r="F1456" s="1094" t="s">
        <v>862</v>
      </c>
      <c r="G1456" s="339">
        <v>141177.56</v>
      </c>
      <c r="H1456" s="1155">
        <v>42791</v>
      </c>
      <c r="I1456" s="798"/>
      <c r="J1456" s="799"/>
      <c r="K1456" s="799"/>
      <c r="L1456" s="800"/>
      <c r="M1456" s="799"/>
      <c r="N1456" s="801"/>
      <c r="O1456" s="802"/>
      <c r="P1456" s="803"/>
      <c r="Q1456" s="804"/>
      <c r="R1456" s="795"/>
      <c r="S1456" s="92"/>
      <c r="T1456" s="92"/>
      <c r="U1456" s="92"/>
      <c r="V1456" s="92"/>
    </row>
    <row r="1457" spans="1:22" s="94" customFormat="1" ht="34.5" customHeight="1" outlineLevel="1" x14ac:dyDescent="0.25">
      <c r="A1457" s="796"/>
      <c r="B1457" s="806" t="s">
        <v>14</v>
      </c>
      <c r="C1457" s="337" t="s">
        <v>37</v>
      </c>
      <c r="D1457" s="805"/>
      <c r="E1457" s="997"/>
      <c r="F1457" s="998"/>
      <c r="G1457" s="339">
        <v>119654.36</v>
      </c>
      <c r="H1457" s="980"/>
      <c r="I1457" s="798"/>
      <c r="J1457" s="799"/>
      <c r="K1457" s="799"/>
      <c r="L1457" s="800"/>
      <c r="M1457" s="799"/>
      <c r="N1457" s="801"/>
      <c r="O1457" s="802"/>
      <c r="P1457" s="803"/>
      <c r="Q1457" s="804"/>
      <c r="R1457" s="795"/>
      <c r="S1457" s="92"/>
      <c r="T1457" s="92"/>
      <c r="U1457" s="92"/>
      <c r="V1457" s="92"/>
    </row>
    <row r="1458" spans="1:22" s="94" customFormat="1" ht="34.5" customHeight="1" outlineLevel="1" x14ac:dyDescent="0.25">
      <c r="A1458" s="796"/>
      <c r="B1458" s="806" t="s">
        <v>15</v>
      </c>
      <c r="C1458" s="337" t="s">
        <v>37</v>
      </c>
      <c r="D1458" s="805"/>
      <c r="E1458" s="997"/>
      <c r="F1458" s="998"/>
      <c r="G1458" s="339">
        <v>125482.38</v>
      </c>
      <c r="H1458" s="980"/>
      <c r="I1458" s="798"/>
      <c r="J1458" s="799"/>
      <c r="K1458" s="799"/>
      <c r="L1458" s="800"/>
      <c r="M1458" s="799"/>
      <c r="N1458" s="801"/>
      <c r="O1458" s="802"/>
      <c r="P1458" s="803"/>
      <c r="Q1458" s="804"/>
      <c r="R1458" s="795"/>
      <c r="S1458" s="92"/>
      <c r="T1458" s="92"/>
      <c r="U1458" s="92"/>
      <c r="V1458" s="92"/>
    </row>
    <row r="1459" spans="1:22" s="94" customFormat="1" ht="34.5" customHeight="1" outlineLevel="1" thickBot="1" x14ac:dyDescent="0.3">
      <c r="A1459" s="796"/>
      <c r="B1459" s="807" t="s">
        <v>1297</v>
      </c>
      <c r="C1459" s="377" t="s">
        <v>37</v>
      </c>
      <c r="D1459" s="808"/>
      <c r="E1459" s="997"/>
      <c r="F1459" s="998"/>
      <c r="G1459" s="585">
        <v>100688.22</v>
      </c>
      <c r="H1459" s="980"/>
      <c r="I1459" s="798"/>
      <c r="J1459" s="799"/>
      <c r="K1459" s="799"/>
      <c r="L1459" s="800"/>
      <c r="M1459" s="799"/>
      <c r="N1459" s="801"/>
      <c r="O1459" s="802"/>
      <c r="P1459" s="803"/>
      <c r="Q1459" s="804"/>
      <c r="R1459" s="795"/>
      <c r="S1459" s="92"/>
      <c r="T1459" s="92"/>
      <c r="U1459" s="92"/>
      <c r="V1459" s="92"/>
    </row>
    <row r="1460" spans="1:22" ht="17.25" outlineLevel="1" thickBot="1" x14ac:dyDescent="0.3">
      <c r="A1460" s="1056" t="s">
        <v>629</v>
      </c>
      <c r="B1460" s="1057"/>
      <c r="C1460" s="150"/>
      <c r="D1460" s="149">
        <f>SUM(D1446,D1443,D1440,D1435,D1430,D1427,D1420,D1417,D1412,D1409,D1402,D1399,D1392,D1384,D1376,D1368,D1361,D1358,D1355,D1352,D1349,D1447)</f>
        <v>273599309.59999996</v>
      </c>
      <c r="E1460" s="150"/>
      <c r="F1460" s="150"/>
      <c r="G1460" s="151">
        <f>SUM(G1446,G1443,G1440,G1435,G1430,G1427,G1420,G1417,G1412,G1409,G1402,G1399,G1392,G1384,G1376,G1368,G1361,G1358,G1355,G1352,G1349,G1447)</f>
        <v>249465016.65999997</v>
      </c>
      <c r="H1460" s="150"/>
      <c r="I1460" s="449"/>
      <c r="J1460" s="149">
        <f>SUM(J1446,J1443,J1440,J1435,J1430,J1427,J1420,J1417,J1412,J1409,J1402,J1399,J1392,J1384,J1376,J1368,J1361,J1358,J1355,J1352,J1349)</f>
        <v>57502629.530000009</v>
      </c>
      <c r="K1460" s="646">
        <f>SUM(K1446,K1443,K1440,K1435,K1430,K1427,K1420,K1417,K1412,K1409,K1402,K1399,K1392,K1384,K1376,K1368,K1361,K1358,K1355,K1352,K1349)</f>
        <v>62591831.530000009</v>
      </c>
      <c r="L1460" s="647"/>
      <c r="M1460" s="613"/>
      <c r="N1460" s="617">
        <f>AVERAGE(N1446,N1443,N1440,N1435,N1430,N1427,N1420,N1417,N1412,N1409,N1402,N1399,N1392,N1384,N1376,N1368,N1361,N1358,N1355,N1352,N1349)</f>
        <v>0.73007936507936511</v>
      </c>
      <c r="O1460" s="618"/>
      <c r="P1460" s="245"/>
      <c r="Q1460" s="252"/>
      <c r="R1460" s="132"/>
    </row>
    <row r="1461" spans="1:22" s="5" customFormat="1" ht="25.5" customHeight="1" thickBot="1" x14ac:dyDescent="0.3">
      <c r="A1461" s="1034" t="s">
        <v>647</v>
      </c>
      <c r="B1461" s="1035"/>
      <c r="C1461" s="1035"/>
      <c r="D1461" s="1035"/>
      <c r="E1461" s="1035"/>
      <c r="F1461" s="1035"/>
      <c r="G1461" s="1035"/>
      <c r="H1461" s="1035"/>
      <c r="I1461" s="1035"/>
      <c r="J1461" s="1035"/>
      <c r="K1461" s="1035"/>
      <c r="L1461" s="1035"/>
      <c r="M1461" s="1035"/>
      <c r="N1461" s="1035"/>
      <c r="O1461" s="1035"/>
      <c r="P1461" s="176"/>
      <c r="Q1461" s="177"/>
      <c r="R1461" s="168"/>
      <c r="S1461" s="19"/>
      <c r="T1461" s="19"/>
      <c r="U1461" s="19"/>
      <c r="V1461" s="19"/>
    </row>
    <row r="1462" spans="1:22" s="69" customFormat="1" ht="33" x14ac:dyDescent="0.25">
      <c r="A1462" s="1069">
        <v>1</v>
      </c>
      <c r="B1462" s="1080" t="s">
        <v>320</v>
      </c>
      <c r="C1462" s="278" t="s">
        <v>500</v>
      </c>
      <c r="D1462" s="159">
        <v>2325338.4700000002</v>
      </c>
      <c r="E1462" s="197" t="s">
        <v>1037</v>
      </c>
      <c r="F1462" s="197" t="s">
        <v>853</v>
      </c>
      <c r="G1462" s="160">
        <v>2325338.4700000002</v>
      </c>
      <c r="H1462" s="161">
        <v>42678</v>
      </c>
      <c r="I1462" s="161">
        <v>42717</v>
      </c>
      <c r="J1462" s="162">
        <v>2322884.2799999998</v>
      </c>
      <c r="K1462" s="162">
        <v>2322884.2799999998</v>
      </c>
      <c r="L1462" s="198"/>
      <c r="M1462" s="199"/>
      <c r="N1462" s="200">
        <v>0.95</v>
      </c>
      <c r="O1462" s="718"/>
      <c r="P1462" s="457"/>
      <c r="Q1462" s="547"/>
      <c r="R1462" s="236"/>
      <c r="S1462" s="68"/>
      <c r="T1462" s="68"/>
      <c r="U1462" s="68"/>
      <c r="V1462" s="68"/>
    </row>
    <row r="1463" spans="1:22" ht="49.5" outlineLevel="1" x14ac:dyDescent="0.25">
      <c r="A1463" s="1070"/>
      <c r="B1463" s="1064"/>
      <c r="C1463" s="294" t="s">
        <v>37</v>
      </c>
      <c r="D1463" s="180">
        <v>69758.59</v>
      </c>
      <c r="E1463" s="181" t="s">
        <v>555</v>
      </c>
      <c r="F1463" s="181" t="s">
        <v>554</v>
      </c>
      <c r="G1463" s="182">
        <f>59117.45*1.18</f>
        <v>69758.590999999986</v>
      </c>
      <c r="H1463" s="183">
        <v>42429</v>
      </c>
      <c r="I1463" s="183">
        <v>42429</v>
      </c>
      <c r="J1463" s="184">
        <v>69758.59</v>
      </c>
      <c r="K1463" s="184">
        <v>69758.59</v>
      </c>
      <c r="L1463" s="183"/>
      <c r="M1463" s="184">
        <f>J1463-D1463</f>
        <v>0</v>
      </c>
      <c r="N1463" s="202"/>
      <c r="O1463" s="283" t="s">
        <v>732</v>
      </c>
      <c r="P1463" s="176"/>
      <c r="Q1463" s="177"/>
      <c r="R1463" s="132"/>
    </row>
    <row r="1464" spans="1:22" ht="17.25" outlineLevel="1" thickBot="1" x14ac:dyDescent="0.3">
      <c r="A1464" s="1006" t="s">
        <v>628</v>
      </c>
      <c r="B1464" s="1007"/>
      <c r="C1464" s="691"/>
      <c r="D1464" s="480">
        <f>SUM(D1462:D1463)</f>
        <v>2395097.06</v>
      </c>
      <c r="E1464" s="239"/>
      <c r="F1464" s="239"/>
      <c r="G1464" s="693">
        <f>SUM(G1462:G1463)</f>
        <v>2395097.0610000002</v>
      </c>
      <c r="H1464" s="239"/>
      <c r="I1464" s="321"/>
      <c r="J1464" s="480">
        <f>SUM(J1462:J1463)</f>
        <v>2392642.8699999996</v>
      </c>
      <c r="K1464" s="480">
        <f>SUM(K1462:K1463)</f>
        <v>2392642.8699999996</v>
      </c>
      <c r="L1464" s="482"/>
      <c r="M1464" s="480"/>
      <c r="N1464" s="421">
        <f>AVERAGE(N1462:N1463)</f>
        <v>0.95</v>
      </c>
      <c r="O1464" s="694"/>
      <c r="P1464" s="176"/>
      <c r="Q1464" s="177"/>
      <c r="R1464" s="132"/>
    </row>
    <row r="1465" spans="1:22" s="69" customFormat="1" ht="33" x14ac:dyDescent="0.25">
      <c r="A1465" s="1069">
        <v>2</v>
      </c>
      <c r="B1465" s="1080" t="s">
        <v>322</v>
      </c>
      <c r="C1465" s="278" t="s">
        <v>500</v>
      </c>
      <c r="D1465" s="159">
        <v>6829644.1200000001</v>
      </c>
      <c r="E1465" s="197" t="s">
        <v>1037</v>
      </c>
      <c r="F1465" s="197" t="s">
        <v>853</v>
      </c>
      <c r="G1465" s="160">
        <v>6829644.1200000001</v>
      </c>
      <c r="H1465" s="161">
        <v>42675</v>
      </c>
      <c r="I1465" s="161">
        <v>42717</v>
      </c>
      <c r="J1465" s="162">
        <v>6826963.1600000001</v>
      </c>
      <c r="K1465" s="162">
        <v>6826963.1600000001</v>
      </c>
      <c r="L1465" s="198"/>
      <c r="M1465" s="199"/>
      <c r="N1465" s="200">
        <v>0.95</v>
      </c>
      <c r="O1465" s="718"/>
      <c r="P1465" s="457"/>
      <c r="Q1465" s="547"/>
      <c r="R1465" s="236"/>
      <c r="S1465" s="68"/>
      <c r="T1465" s="68"/>
      <c r="U1465" s="68"/>
      <c r="V1465" s="68"/>
    </row>
    <row r="1466" spans="1:22" ht="49.5" outlineLevel="1" x14ac:dyDescent="0.25">
      <c r="A1466" s="1070"/>
      <c r="B1466" s="1064"/>
      <c r="C1466" s="294" t="s">
        <v>37</v>
      </c>
      <c r="D1466" s="180">
        <v>100700.45</v>
      </c>
      <c r="E1466" s="181" t="s">
        <v>555</v>
      </c>
      <c r="F1466" s="181" t="s">
        <v>554</v>
      </c>
      <c r="G1466" s="182">
        <f>85339.36*1.18</f>
        <v>100700.4448</v>
      </c>
      <c r="H1466" s="183">
        <v>42429</v>
      </c>
      <c r="I1466" s="183">
        <v>42429</v>
      </c>
      <c r="J1466" s="184">
        <v>100700.45000000001</v>
      </c>
      <c r="K1466" s="184">
        <v>100700.45000000001</v>
      </c>
      <c r="L1466" s="183"/>
      <c r="M1466" s="184">
        <f>J1466-D1466</f>
        <v>0</v>
      </c>
      <c r="N1466" s="202"/>
      <c r="O1466" s="283" t="s">
        <v>732</v>
      </c>
      <c r="P1466" s="176"/>
      <c r="Q1466" s="177"/>
      <c r="R1466" s="132"/>
    </row>
    <row r="1467" spans="1:22" ht="15.75" customHeight="1" outlineLevel="1" thickBot="1" x14ac:dyDescent="0.3">
      <c r="A1467" s="1006" t="s">
        <v>628</v>
      </c>
      <c r="B1467" s="1007"/>
      <c r="C1467" s="691"/>
      <c r="D1467" s="480">
        <f>SUM(D1465:D1466)</f>
        <v>6930344.5700000003</v>
      </c>
      <c r="E1467" s="239"/>
      <c r="F1467" s="239"/>
      <c r="G1467" s="693">
        <f>SUM(G1465:G1466)</f>
        <v>6930344.5647999998</v>
      </c>
      <c r="H1467" s="239"/>
      <c r="I1467" s="321"/>
      <c r="J1467" s="480">
        <f>SUM(J1465:J1466)</f>
        <v>6927663.6100000003</v>
      </c>
      <c r="K1467" s="480">
        <f>SUM(K1465:K1466)</f>
        <v>6927663.6100000003</v>
      </c>
      <c r="L1467" s="482"/>
      <c r="M1467" s="480"/>
      <c r="N1467" s="421">
        <f>AVERAGE(N1465:N1466)</f>
        <v>0.95</v>
      </c>
      <c r="O1467" s="694"/>
      <c r="P1467" s="176"/>
      <c r="Q1467" s="177"/>
      <c r="R1467" s="132"/>
    </row>
    <row r="1468" spans="1:22" s="69" customFormat="1" ht="33" x14ac:dyDescent="0.25">
      <c r="A1468" s="1069">
        <v>3</v>
      </c>
      <c r="B1468" s="1080" t="s">
        <v>319</v>
      </c>
      <c r="C1468" s="278" t="s">
        <v>500</v>
      </c>
      <c r="D1468" s="159">
        <v>3262383.55</v>
      </c>
      <c r="E1468" s="197" t="s">
        <v>1037</v>
      </c>
      <c r="F1468" s="197" t="s">
        <v>853</v>
      </c>
      <c r="G1468" s="162">
        <v>3262383.55</v>
      </c>
      <c r="H1468" s="161">
        <v>42678</v>
      </c>
      <c r="I1468" s="161">
        <v>42717</v>
      </c>
      <c r="J1468" s="162">
        <v>3262382.58</v>
      </c>
      <c r="K1468" s="162">
        <v>3262382.58</v>
      </c>
      <c r="L1468" s="198"/>
      <c r="M1468" s="199"/>
      <c r="N1468" s="200">
        <v>0.95</v>
      </c>
      <c r="O1468" s="718"/>
      <c r="P1468" s="457"/>
      <c r="Q1468" s="547"/>
      <c r="R1468" s="236"/>
      <c r="S1468" s="68"/>
      <c r="T1468" s="68"/>
      <c r="U1468" s="68"/>
      <c r="V1468" s="68"/>
    </row>
    <row r="1469" spans="1:22" ht="49.5" outlineLevel="1" x14ac:dyDescent="0.25">
      <c r="A1469" s="1070"/>
      <c r="B1469" s="1064"/>
      <c r="C1469" s="294" t="s">
        <v>37</v>
      </c>
      <c r="D1469" s="180">
        <v>72611.41</v>
      </c>
      <c r="E1469" s="181" t="s">
        <v>555</v>
      </c>
      <c r="F1469" s="181" t="s">
        <v>554</v>
      </c>
      <c r="G1469" s="182">
        <f>61535.09*1.18</f>
        <v>72611.406199999998</v>
      </c>
      <c r="H1469" s="183">
        <v>42429</v>
      </c>
      <c r="I1469" s="183">
        <v>42429</v>
      </c>
      <c r="J1469" s="184">
        <v>72611.41</v>
      </c>
      <c r="K1469" s="184">
        <v>72611.41</v>
      </c>
      <c r="L1469" s="183"/>
      <c r="M1469" s="184">
        <f>J1469-D1469</f>
        <v>0</v>
      </c>
      <c r="N1469" s="202"/>
      <c r="O1469" s="283" t="s">
        <v>732</v>
      </c>
      <c r="P1469" s="176"/>
      <c r="Q1469" s="177"/>
      <c r="R1469" s="132"/>
    </row>
    <row r="1470" spans="1:22" ht="17.25" outlineLevel="1" thickBot="1" x14ac:dyDescent="0.3">
      <c r="A1470" s="1006" t="s">
        <v>628</v>
      </c>
      <c r="B1470" s="1007"/>
      <c r="C1470" s="691"/>
      <c r="D1470" s="480">
        <f>SUM(D1468:D1469)</f>
        <v>3334994.96</v>
      </c>
      <c r="E1470" s="239"/>
      <c r="F1470" s="239"/>
      <c r="G1470" s="693">
        <f>SUM(G1468:G1469)</f>
        <v>3334994.9561999999</v>
      </c>
      <c r="H1470" s="239"/>
      <c r="I1470" s="321"/>
      <c r="J1470" s="480">
        <f>SUM(J1468:J1469)</f>
        <v>3334993.99</v>
      </c>
      <c r="K1470" s="480">
        <f>SUM(K1468:K1469)</f>
        <v>3334993.99</v>
      </c>
      <c r="L1470" s="482"/>
      <c r="M1470" s="480"/>
      <c r="N1470" s="421">
        <f>AVERAGE(N1468:N1469)</f>
        <v>0.95</v>
      </c>
      <c r="O1470" s="694"/>
      <c r="P1470" s="176"/>
      <c r="Q1470" s="177"/>
      <c r="R1470" s="132"/>
    </row>
    <row r="1471" spans="1:22" s="5" customFormat="1" ht="36.75" customHeight="1" x14ac:dyDescent="0.25">
      <c r="A1471" s="1069">
        <v>4</v>
      </c>
      <c r="B1471" s="1080" t="s">
        <v>329</v>
      </c>
      <c r="C1471" s="278" t="s">
        <v>500</v>
      </c>
      <c r="D1471" s="159">
        <v>7397295.79</v>
      </c>
      <c r="E1471" s="197" t="s">
        <v>852</v>
      </c>
      <c r="F1471" s="197" t="s">
        <v>853</v>
      </c>
      <c r="G1471" s="160">
        <v>6724817.3300000001</v>
      </c>
      <c r="H1471" s="161">
        <v>42557</v>
      </c>
      <c r="I1471" s="161">
        <v>42583</v>
      </c>
      <c r="J1471" s="162">
        <v>7397295.79</v>
      </c>
      <c r="K1471" s="162">
        <v>7397295.79</v>
      </c>
      <c r="L1471" s="198"/>
      <c r="M1471" s="199"/>
      <c r="N1471" s="200">
        <v>1</v>
      </c>
      <c r="O1471" s="699"/>
      <c r="P1471" s="176"/>
      <c r="Q1471" s="177"/>
      <c r="R1471" s="168"/>
      <c r="S1471" s="19"/>
      <c r="T1471" s="19"/>
      <c r="U1471" s="19"/>
      <c r="V1471" s="19"/>
    </row>
    <row r="1472" spans="1:22" ht="49.5" outlineLevel="1" x14ac:dyDescent="0.25">
      <c r="A1472" s="1070"/>
      <c r="B1472" s="1064"/>
      <c r="C1472" s="294" t="s">
        <v>37</v>
      </c>
      <c r="D1472" s="180">
        <v>103667.08</v>
      </c>
      <c r="E1472" s="181" t="s">
        <v>555</v>
      </c>
      <c r="F1472" s="181" t="s">
        <v>554</v>
      </c>
      <c r="G1472" s="182">
        <f>87853.46*1.18</f>
        <v>103667.0828</v>
      </c>
      <c r="H1472" s="183">
        <v>42429</v>
      </c>
      <c r="I1472" s="183">
        <v>42429</v>
      </c>
      <c r="J1472" s="184">
        <v>103667.08000000002</v>
      </c>
      <c r="K1472" s="184">
        <v>103667.08</v>
      </c>
      <c r="L1472" s="183"/>
      <c r="M1472" s="184">
        <f>J1472-D1472</f>
        <v>0</v>
      </c>
      <c r="N1472" s="202"/>
      <c r="O1472" s="283" t="s">
        <v>732</v>
      </c>
      <c r="P1472" s="176"/>
      <c r="Q1472" s="177"/>
      <c r="R1472" s="132"/>
    </row>
    <row r="1473" spans="1:22" ht="17.25" outlineLevel="1" thickBot="1" x14ac:dyDescent="0.3">
      <c r="A1473" s="1006" t="s">
        <v>628</v>
      </c>
      <c r="B1473" s="1007"/>
      <c r="C1473" s="691"/>
      <c r="D1473" s="480">
        <f>SUM(D1471:D1472)</f>
        <v>7500962.8700000001</v>
      </c>
      <c r="E1473" s="239"/>
      <c r="F1473" s="239"/>
      <c r="G1473" s="693">
        <f>SUM(G1471:G1472)</f>
        <v>6828484.4128</v>
      </c>
      <c r="H1473" s="239"/>
      <c r="I1473" s="321"/>
      <c r="J1473" s="480">
        <f>SUM(J1471:J1472)</f>
        <v>7500962.8700000001</v>
      </c>
      <c r="K1473" s="480">
        <f>SUM(K1471:K1472)</f>
        <v>7500962.8700000001</v>
      </c>
      <c r="L1473" s="482"/>
      <c r="M1473" s="480"/>
      <c r="N1473" s="421">
        <f>AVERAGE(N1471:N1472)</f>
        <v>1</v>
      </c>
      <c r="O1473" s="694"/>
      <c r="P1473" s="176"/>
      <c r="Q1473" s="177"/>
      <c r="R1473" s="132"/>
    </row>
    <row r="1474" spans="1:22" s="5" customFormat="1" ht="33" x14ac:dyDescent="0.25">
      <c r="A1474" s="1069">
        <v>5</v>
      </c>
      <c r="B1474" s="1080" t="s">
        <v>330</v>
      </c>
      <c r="C1474" s="278" t="s">
        <v>500</v>
      </c>
      <c r="D1474" s="159">
        <v>7397492.9400000004</v>
      </c>
      <c r="E1474" s="197" t="s">
        <v>854</v>
      </c>
      <c r="F1474" s="197" t="s">
        <v>853</v>
      </c>
      <c r="G1474" s="160">
        <v>6725001.5</v>
      </c>
      <c r="H1474" s="161">
        <v>42557</v>
      </c>
      <c r="I1474" s="161">
        <v>42583</v>
      </c>
      <c r="J1474" s="162">
        <v>7397492.9399999995</v>
      </c>
      <c r="K1474" s="162">
        <v>7397492.9399999995</v>
      </c>
      <c r="L1474" s="198"/>
      <c r="M1474" s="199"/>
      <c r="N1474" s="200">
        <v>1</v>
      </c>
      <c r="O1474" s="699"/>
      <c r="P1474" s="176"/>
      <c r="Q1474" s="177"/>
      <c r="R1474" s="168"/>
      <c r="S1474" s="19"/>
      <c r="T1474" s="19"/>
      <c r="U1474" s="19"/>
      <c r="V1474" s="19"/>
    </row>
    <row r="1475" spans="1:22" ht="49.5" outlineLevel="1" x14ac:dyDescent="0.25">
      <c r="A1475" s="1070"/>
      <c r="B1475" s="1064"/>
      <c r="C1475" s="294" t="s">
        <v>37</v>
      </c>
      <c r="D1475" s="180">
        <v>82073.39</v>
      </c>
      <c r="E1475" s="181" t="s">
        <v>555</v>
      </c>
      <c r="F1475" s="181" t="s">
        <v>554</v>
      </c>
      <c r="G1475" s="182">
        <v>82073.39</v>
      </c>
      <c r="H1475" s="183">
        <v>42429</v>
      </c>
      <c r="I1475" s="183">
        <v>42429</v>
      </c>
      <c r="J1475" s="184">
        <v>82073.39</v>
      </c>
      <c r="K1475" s="184">
        <v>82073.39</v>
      </c>
      <c r="L1475" s="183"/>
      <c r="M1475" s="184">
        <f>J1475-D1475</f>
        <v>0</v>
      </c>
      <c r="N1475" s="202"/>
      <c r="O1475" s="283" t="s">
        <v>732</v>
      </c>
      <c r="P1475" s="176"/>
      <c r="Q1475" s="177"/>
      <c r="R1475" s="132"/>
    </row>
    <row r="1476" spans="1:22" ht="17.25" outlineLevel="1" thickBot="1" x14ac:dyDescent="0.3">
      <c r="A1476" s="1006" t="s">
        <v>628</v>
      </c>
      <c r="B1476" s="1007"/>
      <c r="C1476" s="691"/>
      <c r="D1476" s="480">
        <f>SUM(D1474:D1475)</f>
        <v>7479566.3300000001</v>
      </c>
      <c r="E1476" s="239"/>
      <c r="F1476" s="239"/>
      <c r="G1476" s="693">
        <f>SUM(G1474:G1475)</f>
        <v>6807074.8899999997</v>
      </c>
      <c r="H1476" s="239"/>
      <c r="I1476" s="321"/>
      <c r="J1476" s="480">
        <f>SUM(J1474:J1475)</f>
        <v>7479566.3299999991</v>
      </c>
      <c r="K1476" s="480">
        <f>SUM(K1474:K1475)</f>
        <v>7479566.3299999991</v>
      </c>
      <c r="L1476" s="482"/>
      <c r="M1476" s="480"/>
      <c r="N1476" s="421">
        <f>AVERAGE(N1474:N1475)</f>
        <v>1</v>
      </c>
      <c r="O1476" s="694"/>
      <c r="P1476" s="176"/>
      <c r="Q1476" s="177"/>
      <c r="R1476" s="132"/>
    </row>
    <row r="1477" spans="1:22" s="5" customFormat="1" ht="33" x14ac:dyDescent="0.25">
      <c r="A1477" s="1069">
        <v>6</v>
      </c>
      <c r="B1477" s="1080" t="s">
        <v>331</v>
      </c>
      <c r="C1477" s="278" t="s">
        <v>500</v>
      </c>
      <c r="D1477" s="159">
        <v>7397492.9400000004</v>
      </c>
      <c r="E1477" s="197" t="s">
        <v>854</v>
      </c>
      <c r="F1477" s="197" t="s">
        <v>853</v>
      </c>
      <c r="G1477" s="160">
        <v>6725001.5</v>
      </c>
      <c r="H1477" s="161">
        <v>42557</v>
      </c>
      <c r="I1477" s="161">
        <v>42583</v>
      </c>
      <c r="J1477" s="162">
        <v>7397492.9399999995</v>
      </c>
      <c r="K1477" s="162">
        <v>7397492.9399999995</v>
      </c>
      <c r="L1477" s="198"/>
      <c r="M1477" s="199"/>
      <c r="N1477" s="200">
        <v>1</v>
      </c>
      <c r="O1477" s="699"/>
      <c r="P1477" s="176"/>
      <c r="Q1477" s="177"/>
      <c r="R1477" s="168"/>
      <c r="S1477" s="19"/>
      <c r="T1477" s="19"/>
      <c r="U1477" s="19"/>
      <c r="V1477" s="19"/>
    </row>
    <row r="1478" spans="1:22" ht="49.5" outlineLevel="1" x14ac:dyDescent="0.25">
      <c r="A1478" s="1070"/>
      <c r="B1478" s="1064"/>
      <c r="C1478" s="294" t="s">
        <v>37</v>
      </c>
      <c r="D1478" s="180">
        <v>82276.72</v>
      </c>
      <c r="E1478" s="181" t="s">
        <v>555</v>
      </c>
      <c r="F1478" s="181" t="s">
        <v>554</v>
      </c>
      <c r="G1478" s="182">
        <f>69726.03*1.18</f>
        <v>82276.715400000001</v>
      </c>
      <c r="H1478" s="183">
        <v>42429</v>
      </c>
      <c r="I1478" s="183">
        <v>42429</v>
      </c>
      <c r="J1478" s="184">
        <v>82276.72</v>
      </c>
      <c r="K1478" s="184">
        <v>82276.72</v>
      </c>
      <c r="L1478" s="183"/>
      <c r="M1478" s="184">
        <f>J1478-D1478</f>
        <v>0</v>
      </c>
      <c r="N1478" s="202"/>
      <c r="O1478" s="283" t="s">
        <v>732</v>
      </c>
      <c r="P1478" s="176"/>
      <c r="Q1478" s="177"/>
      <c r="R1478" s="132"/>
    </row>
    <row r="1479" spans="1:22" ht="17.25" outlineLevel="1" thickBot="1" x14ac:dyDescent="0.3">
      <c r="A1479" s="1010" t="s">
        <v>628</v>
      </c>
      <c r="B1479" s="1011"/>
      <c r="C1479" s="607"/>
      <c r="D1479" s="480">
        <f>SUM(D1477:D1478)</f>
        <v>7479769.6600000001</v>
      </c>
      <c r="E1479" s="247"/>
      <c r="F1479" s="247"/>
      <c r="G1479" s="693">
        <f>SUM(G1477:G1478)</f>
        <v>6807278.2154000001</v>
      </c>
      <c r="H1479" s="247"/>
      <c r="I1479" s="277"/>
      <c r="J1479" s="480">
        <f>SUM(J1477:J1478)</f>
        <v>7479769.6599999992</v>
      </c>
      <c r="K1479" s="480">
        <f>SUM(K1477:K1478)</f>
        <v>7479769.6599999992</v>
      </c>
      <c r="L1479" s="579"/>
      <c r="M1479" s="577"/>
      <c r="N1479" s="421">
        <f>AVERAGE(N1477:N1478)</f>
        <v>1</v>
      </c>
      <c r="O1479" s="707"/>
      <c r="P1479" s="176"/>
      <c r="Q1479" s="177"/>
      <c r="R1479" s="132"/>
    </row>
    <row r="1480" spans="1:22" s="5" customFormat="1" ht="33" x14ac:dyDescent="0.25">
      <c r="A1480" s="1069">
        <v>7</v>
      </c>
      <c r="B1480" s="1080" t="s">
        <v>327</v>
      </c>
      <c r="C1480" s="278" t="s">
        <v>500</v>
      </c>
      <c r="D1480" s="159">
        <v>9557519.0099999998</v>
      </c>
      <c r="E1480" s="197" t="s">
        <v>852</v>
      </c>
      <c r="F1480" s="197" t="s">
        <v>853</v>
      </c>
      <c r="G1480" s="160">
        <v>8765782.6699999999</v>
      </c>
      <c r="H1480" s="161">
        <v>42557</v>
      </c>
      <c r="I1480" s="161">
        <v>42583</v>
      </c>
      <c r="J1480" s="162">
        <v>9557519.0099999998</v>
      </c>
      <c r="K1480" s="162">
        <v>9557519.0099999998</v>
      </c>
      <c r="L1480" s="198"/>
      <c r="M1480" s="199"/>
      <c r="N1480" s="200">
        <v>1</v>
      </c>
      <c r="O1480" s="699"/>
      <c r="P1480" s="176"/>
      <c r="Q1480" s="177"/>
      <c r="R1480" s="168"/>
      <c r="S1480" s="19"/>
      <c r="T1480" s="19"/>
      <c r="U1480" s="19"/>
      <c r="V1480" s="19"/>
    </row>
    <row r="1481" spans="1:22" ht="49.5" outlineLevel="1" x14ac:dyDescent="0.25">
      <c r="A1481" s="1070"/>
      <c r="B1481" s="1064"/>
      <c r="C1481" s="294" t="s">
        <v>37</v>
      </c>
      <c r="D1481" s="180">
        <v>80018.81</v>
      </c>
      <c r="E1481" s="181" t="s">
        <v>555</v>
      </c>
      <c r="F1481" s="181" t="s">
        <v>554</v>
      </c>
      <c r="G1481" s="182">
        <f>67812.55*1.18</f>
        <v>80018.808999999994</v>
      </c>
      <c r="H1481" s="183">
        <v>42429</v>
      </c>
      <c r="I1481" s="183">
        <v>42429</v>
      </c>
      <c r="J1481" s="184">
        <v>80018.81</v>
      </c>
      <c r="K1481" s="184">
        <v>80018.81</v>
      </c>
      <c r="L1481" s="183"/>
      <c r="M1481" s="184">
        <f>J1481-D1481</f>
        <v>0</v>
      </c>
      <c r="N1481" s="202"/>
      <c r="O1481" s="283" t="s">
        <v>732</v>
      </c>
      <c r="P1481" s="176"/>
      <c r="Q1481" s="177"/>
      <c r="R1481" s="132"/>
    </row>
    <row r="1482" spans="1:22" ht="17.25" outlineLevel="1" thickBot="1" x14ac:dyDescent="0.3">
      <c r="A1482" s="1006" t="s">
        <v>628</v>
      </c>
      <c r="B1482" s="1007"/>
      <c r="C1482" s="691"/>
      <c r="D1482" s="480">
        <f>SUM(D1480:D1481)</f>
        <v>9637537.8200000003</v>
      </c>
      <c r="E1482" s="239"/>
      <c r="F1482" s="239"/>
      <c r="G1482" s="693">
        <f>SUM(G1480:G1481)</f>
        <v>8845801.4790000003</v>
      </c>
      <c r="H1482" s="239"/>
      <c r="I1482" s="321"/>
      <c r="J1482" s="480">
        <f>SUM(J1480:J1481)</f>
        <v>9637537.8200000003</v>
      </c>
      <c r="K1482" s="480">
        <f>SUM(K1480:K1481)</f>
        <v>9637537.8200000003</v>
      </c>
      <c r="L1482" s="482"/>
      <c r="M1482" s="480"/>
      <c r="N1482" s="421">
        <f>AVERAGE(N1480:N1481)</f>
        <v>1</v>
      </c>
      <c r="O1482" s="694"/>
      <c r="P1482" s="176"/>
      <c r="Q1482" s="177"/>
      <c r="R1482" s="132"/>
    </row>
    <row r="1483" spans="1:22" s="69" customFormat="1" ht="33" x14ac:dyDescent="0.25">
      <c r="A1483" s="1069">
        <v>8</v>
      </c>
      <c r="B1483" s="1080" t="s">
        <v>573</v>
      </c>
      <c r="C1483" s="278" t="s">
        <v>500</v>
      </c>
      <c r="D1483" s="159">
        <v>12186000</v>
      </c>
      <c r="E1483" s="197" t="s">
        <v>1039</v>
      </c>
      <c r="F1483" s="197" t="s">
        <v>853</v>
      </c>
      <c r="G1483" s="160">
        <v>12186000</v>
      </c>
      <c r="H1483" s="161">
        <v>42643</v>
      </c>
      <c r="I1483" s="161">
        <v>42717</v>
      </c>
      <c r="J1483" s="162">
        <v>12186000</v>
      </c>
      <c r="K1483" s="162">
        <v>12186000</v>
      </c>
      <c r="L1483" s="161">
        <v>42732</v>
      </c>
      <c r="M1483" s="199"/>
      <c r="N1483" s="200">
        <v>1</v>
      </c>
      <c r="O1483" s="718"/>
      <c r="P1483" s="457"/>
      <c r="Q1483" s="458" t="s">
        <v>1114</v>
      </c>
      <c r="R1483" s="236"/>
      <c r="S1483" s="68"/>
      <c r="T1483" s="68"/>
      <c r="U1483" s="68"/>
      <c r="V1483" s="68"/>
    </row>
    <row r="1484" spans="1:22" ht="49.5" outlineLevel="1" x14ac:dyDescent="0.25">
      <c r="A1484" s="1070"/>
      <c r="B1484" s="1064"/>
      <c r="C1484" s="294" t="s">
        <v>37</v>
      </c>
      <c r="D1484" s="180">
        <v>100345.43</v>
      </c>
      <c r="E1484" s="181" t="s">
        <v>555</v>
      </c>
      <c r="F1484" s="181" t="s">
        <v>554</v>
      </c>
      <c r="G1484" s="182">
        <f>85038.5*1.18</f>
        <v>100345.43</v>
      </c>
      <c r="H1484" s="183">
        <v>42429</v>
      </c>
      <c r="I1484" s="183">
        <v>42429</v>
      </c>
      <c r="J1484" s="184">
        <v>100345.43</v>
      </c>
      <c r="K1484" s="184">
        <v>100345.43</v>
      </c>
      <c r="L1484" s="183"/>
      <c r="M1484" s="184">
        <f>J1484-D1484</f>
        <v>0</v>
      </c>
      <c r="N1484" s="202"/>
      <c r="O1484" s="283" t="s">
        <v>732</v>
      </c>
      <c r="P1484" s="176"/>
      <c r="Q1484" s="177"/>
      <c r="R1484" s="132"/>
    </row>
    <row r="1485" spans="1:22" ht="17.25" outlineLevel="1" thickBot="1" x14ac:dyDescent="0.3">
      <c r="A1485" s="1006" t="s">
        <v>628</v>
      </c>
      <c r="B1485" s="1007"/>
      <c r="C1485" s="691"/>
      <c r="D1485" s="480">
        <f>SUM(D1483:D1484)</f>
        <v>12286345.43</v>
      </c>
      <c r="E1485" s="239"/>
      <c r="F1485" s="239"/>
      <c r="G1485" s="693">
        <f>SUM(G1483:G1484)</f>
        <v>12286345.43</v>
      </c>
      <c r="H1485" s="239"/>
      <c r="I1485" s="321"/>
      <c r="J1485" s="480">
        <f>SUM(J1483:J1484)</f>
        <v>12286345.43</v>
      </c>
      <c r="K1485" s="480">
        <f>SUM(K1483:K1484)</f>
        <v>12286345.43</v>
      </c>
      <c r="L1485" s="482"/>
      <c r="M1485" s="480"/>
      <c r="N1485" s="421">
        <f>AVERAGE(N1483:N1484)</f>
        <v>1</v>
      </c>
      <c r="O1485" s="694"/>
      <c r="P1485" s="176"/>
      <c r="Q1485" s="177"/>
      <c r="R1485" s="132"/>
    </row>
    <row r="1486" spans="1:22" s="5" customFormat="1" ht="49.5" x14ac:dyDescent="0.25">
      <c r="A1486" s="1069">
        <v>9</v>
      </c>
      <c r="B1486" s="1080" t="s">
        <v>574</v>
      </c>
      <c r="C1486" s="278" t="s">
        <v>500</v>
      </c>
      <c r="D1486" s="159">
        <v>11308773.880000001</v>
      </c>
      <c r="E1486" s="197" t="s">
        <v>948</v>
      </c>
      <c r="F1486" s="197" t="s">
        <v>949</v>
      </c>
      <c r="G1486" s="353">
        <v>11205098.279999999</v>
      </c>
      <c r="H1486" s="161">
        <v>42618</v>
      </c>
      <c r="I1486" s="161">
        <v>42671</v>
      </c>
      <c r="J1486" s="162">
        <v>10499627.32</v>
      </c>
      <c r="K1486" s="162">
        <v>10499627.32</v>
      </c>
      <c r="L1486" s="161">
        <v>42692</v>
      </c>
      <c r="M1486" s="199"/>
      <c r="N1486" s="200">
        <v>1</v>
      </c>
      <c r="O1486" s="699"/>
      <c r="P1486" s="176"/>
      <c r="Q1486" s="280" t="s">
        <v>1118</v>
      </c>
      <c r="R1486" s="168"/>
      <c r="S1486" s="19"/>
      <c r="T1486" s="19"/>
      <c r="U1486" s="19"/>
      <c r="V1486" s="19"/>
    </row>
    <row r="1487" spans="1:22" ht="49.5" outlineLevel="1" x14ac:dyDescent="0.25">
      <c r="A1487" s="1070"/>
      <c r="B1487" s="1064"/>
      <c r="C1487" s="294" t="s">
        <v>37</v>
      </c>
      <c r="D1487" s="180">
        <v>111278.07</v>
      </c>
      <c r="E1487" s="181" t="s">
        <v>555</v>
      </c>
      <c r="F1487" s="181" t="s">
        <v>554</v>
      </c>
      <c r="G1487" s="182">
        <f>94303.45*1.18</f>
        <v>111278.071</v>
      </c>
      <c r="H1487" s="183">
        <v>42429</v>
      </c>
      <c r="I1487" s="183">
        <v>42429</v>
      </c>
      <c r="J1487" s="184">
        <v>111278.07</v>
      </c>
      <c r="K1487" s="184">
        <v>111278.06999999999</v>
      </c>
      <c r="L1487" s="183"/>
      <c r="M1487" s="184">
        <f>J1487-D1487</f>
        <v>0</v>
      </c>
      <c r="N1487" s="202"/>
      <c r="O1487" s="283" t="s">
        <v>732</v>
      </c>
      <c r="P1487" s="176"/>
      <c r="Q1487" s="177"/>
      <c r="R1487" s="132"/>
    </row>
    <row r="1488" spans="1:22" ht="17.25" outlineLevel="1" thickBot="1" x14ac:dyDescent="0.3">
      <c r="A1488" s="1006" t="s">
        <v>628</v>
      </c>
      <c r="B1488" s="1007"/>
      <c r="C1488" s="691"/>
      <c r="D1488" s="480">
        <f>SUM(D1486:D1487)</f>
        <v>11420051.950000001</v>
      </c>
      <c r="E1488" s="239"/>
      <c r="F1488" s="239"/>
      <c r="G1488" s="693">
        <f>SUM(G1486:G1487)</f>
        <v>11316376.351</v>
      </c>
      <c r="H1488" s="239"/>
      <c r="I1488" s="321"/>
      <c r="J1488" s="480">
        <f>SUM(J1486:J1487)</f>
        <v>10610905.390000001</v>
      </c>
      <c r="K1488" s="480">
        <f>SUM(K1486:K1487)</f>
        <v>10610905.390000001</v>
      </c>
      <c r="L1488" s="482"/>
      <c r="M1488" s="480"/>
      <c r="N1488" s="421">
        <f>AVERAGE(N1486:N1487)</f>
        <v>1</v>
      </c>
      <c r="O1488" s="694"/>
      <c r="P1488" s="176"/>
      <c r="Q1488" s="177"/>
      <c r="R1488" s="132"/>
    </row>
    <row r="1489" spans="1:22" s="5" customFormat="1" ht="15.75" customHeight="1" x14ac:dyDescent="0.25">
      <c r="A1489" s="1069">
        <v>10</v>
      </c>
      <c r="B1489" s="1075" t="s">
        <v>308</v>
      </c>
      <c r="C1489" s="197" t="s">
        <v>38</v>
      </c>
      <c r="D1489" s="162">
        <v>2235324.98</v>
      </c>
      <c r="E1489" s="1051" t="s">
        <v>773</v>
      </c>
      <c r="F1489" s="984" t="s">
        <v>752</v>
      </c>
      <c r="G1489" s="353">
        <v>2279119.64</v>
      </c>
      <c r="H1489" s="161">
        <v>42551</v>
      </c>
      <c r="I1489" s="161">
        <v>42540</v>
      </c>
      <c r="J1489" s="162">
        <v>2235324.98</v>
      </c>
      <c r="K1489" s="199">
        <v>2235324.98</v>
      </c>
      <c r="L1489" s="198"/>
      <c r="M1489" s="162">
        <f t="shared" ref="M1489:M1495" si="127">J1489-D1489</f>
        <v>0</v>
      </c>
      <c r="N1489" s="200">
        <v>1</v>
      </c>
      <c r="O1489" s="687"/>
      <c r="P1489" s="176"/>
      <c r="Q1489" s="177"/>
      <c r="R1489" s="168"/>
      <c r="S1489" s="19"/>
      <c r="T1489" s="19"/>
      <c r="U1489" s="19"/>
      <c r="V1489" s="19"/>
    </row>
    <row r="1490" spans="1:22" ht="16.5" outlineLevel="1" x14ac:dyDescent="0.25">
      <c r="A1490" s="1070"/>
      <c r="B1490" s="1076"/>
      <c r="C1490" s="253" t="s">
        <v>34</v>
      </c>
      <c r="D1490" s="163">
        <v>2586317.64</v>
      </c>
      <c r="E1490" s="1052"/>
      <c r="F1490" s="985"/>
      <c r="G1490" s="354">
        <v>2647540.9300000002</v>
      </c>
      <c r="H1490" s="210">
        <v>42582</v>
      </c>
      <c r="I1490" s="210">
        <v>42540</v>
      </c>
      <c r="J1490" s="163">
        <v>2586317.64</v>
      </c>
      <c r="K1490" s="163">
        <v>2586317.64</v>
      </c>
      <c r="L1490" s="210"/>
      <c r="M1490" s="275">
        <f t="shared" si="127"/>
        <v>0</v>
      </c>
      <c r="N1490" s="213">
        <v>1</v>
      </c>
      <c r="O1490" s="625"/>
      <c r="P1490" s="176"/>
      <c r="Q1490" s="177"/>
      <c r="R1490" s="132"/>
    </row>
    <row r="1491" spans="1:22" ht="16.5" outlineLevel="1" x14ac:dyDescent="0.25">
      <c r="A1491" s="1070"/>
      <c r="B1491" s="1076"/>
      <c r="C1491" s="253" t="s">
        <v>35</v>
      </c>
      <c r="D1491" s="163">
        <v>667168.09</v>
      </c>
      <c r="E1491" s="1053"/>
      <c r="F1491" s="986"/>
      <c r="G1491" s="354">
        <v>682961.91</v>
      </c>
      <c r="H1491" s="212">
        <v>42551</v>
      </c>
      <c r="I1491" s="210">
        <v>42540</v>
      </c>
      <c r="J1491" s="163">
        <v>667168.09</v>
      </c>
      <c r="K1491" s="163">
        <v>667168.09</v>
      </c>
      <c r="L1491" s="210"/>
      <c r="M1491" s="275">
        <f t="shared" si="127"/>
        <v>0</v>
      </c>
      <c r="N1491" s="213">
        <v>1</v>
      </c>
      <c r="O1491" s="625"/>
      <c r="P1491" s="176"/>
      <c r="Q1491" s="177"/>
      <c r="R1491" s="132"/>
    </row>
    <row r="1492" spans="1:22" ht="33" outlineLevel="1" x14ac:dyDescent="0.25">
      <c r="A1492" s="1070"/>
      <c r="B1492" s="1076"/>
      <c r="C1492" s="253" t="s">
        <v>36</v>
      </c>
      <c r="D1492" s="163">
        <v>837144.57</v>
      </c>
      <c r="E1492" s="253" t="s">
        <v>986</v>
      </c>
      <c r="F1492" s="478" t="s">
        <v>985</v>
      </c>
      <c r="G1492" s="354">
        <v>1008756.04</v>
      </c>
      <c r="H1492" s="210">
        <v>42638</v>
      </c>
      <c r="I1492" s="212">
        <v>42642</v>
      </c>
      <c r="J1492" s="163">
        <v>837144.57</v>
      </c>
      <c r="K1492" s="163">
        <v>837144.57</v>
      </c>
      <c r="L1492" s="210"/>
      <c r="M1492" s="316">
        <f t="shared" si="127"/>
        <v>0</v>
      </c>
      <c r="N1492" s="213">
        <v>1</v>
      </c>
      <c r="O1492" s="301"/>
      <c r="P1492" s="176"/>
      <c r="Q1492" s="201" t="s">
        <v>1121</v>
      </c>
      <c r="R1492" s="132"/>
    </row>
    <row r="1493" spans="1:22" ht="29.25" customHeight="1" outlineLevel="1" x14ac:dyDescent="0.25">
      <c r="A1493" s="1070"/>
      <c r="B1493" s="1076"/>
      <c r="C1493" s="253" t="s">
        <v>500</v>
      </c>
      <c r="D1493" s="163">
        <v>3929586.01</v>
      </c>
      <c r="E1493" s="253" t="s">
        <v>764</v>
      </c>
      <c r="F1493" s="253" t="s">
        <v>763</v>
      </c>
      <c r="G1493" s="354">
        <v>3974417.78</v>
      </c>
      <c r="H1493" s="210">
        <v>42505</v>
      </c>
      <c r="I1493" s="210">
        <v>42506</v>
      </c>
      <c r="J1493" s="163">
        <v>3929586.0100000002</v>
      </c>
      <c r="K1493" s="163">
        <v>3929586.01</v>
      </c>
      <c r="L1493" s="210"/>
      <c r="M1493" s="163">
        <f t="shared" si="127"/>
        <v>0</v>
      </c>
      <c r="N1493" s="213">
        <v>1</v>
      </c>
      <c r="O1493" s="531"/>
      <c r="P1493" s="176"/>
      <c r="Q1493" s="177"/>
      <c r="R1493" s="132"/>
    </row>
    <row r="1494" spans="1:22" ht="66" outlineLevel="1" x14ac:dyDescent="0.25">
      <c r="A1494" s="1070"/>
      <c r="B1494" s="1076"/>
      <c r="C1494" s="253" t="s">
        <v>501</v>
      </c>
      <c r="D1494" s="163">
        <v>9700000</v>
      </c>
      <c r="E1494" s="253" t="s">
        <v>1015</v>
      </c>
      <c r="F1494" s="253" t="s">
        <v>1016</v>
      </c>
      <c r="G1494" s="354">
        <v>8300000</v>
      </c>
      <c r="H1494" s="210">
        <v>42620</v>
      </c>
      <c r="I1494" s="210">
        <v>42710</v>
      </c>
      <c r="J1494" s="163">
        <v>8233687.1799999997</v>
      </c>
      <c r="K1494" s="163">
        <v>8233687.1799999997</v>
      </c>
      <c r="L1494" s="210"/>
      <c r="M1494" s="163">
        <f t="shared" si="127"/>
        <v>-1466312.8200000003</v>
      </c>
      <c r="N1494" s="213">
        <v>0.5</v>
      </c>
      <c r="O1494" s="301"/>
      <c r="P1494" s="176">
        <v>2017</v>
      </c>
      <c r="Q1494" s="177" t="s">
        <v>1140</v>
      </c>
      <c r="R1494" s="132"/>
    </row>
    <row r="1495" spans="1:22" ht="49.5" outlineLevel="1" x14ac:dyDescent="0.25">
      <c r="A1495" s="1070"/>
      <c r="B1495" s="1076"/>
      <c r="C1495" s="294" t="s">
        <v>37</v>
      </c>
      <c r="D1495" s="180">
        <v>549734.52</v>
      </c>
      <c r="E1495" s="181" t="s">
        <v>577</v>
      </c>
      <c r="F1495" s="181" t="s">
        <v>537</v>
      </c>
      <c r="G1495" s="182">
        <f>512561.64*1.18</f>
        <v>604822.7352</v>
      </c>
      <c r="H1495" s="183">
        <v>42394</v>
      </c>
      <c r="I1495" s="183">
        <v>42381</v>
      </c>
      <c r="J1495" s="184">
        <v>549734.52</v>
      </c>
      <c r="K1495" s="184">
        <v>549734.522</v>
      </c>
      <c r="L1495" s="183"/>
      <c r="M1495" s="184">
        <f t="shared" si="127"/>
        <v>0</v>
      </c>
      <c r="N1495" s="202"/>
      <c r="O1495" s="283" t="s">
        <v>699</v>
      </c>
      <c r="P1495" s="176"/>
      <c r="Q1495" s="177"/>
      <c r="R1495" s="132"/>
    </row>
    <row r="1496" spans="1:22" ht="17.25" outlineLevel="1" thickBot="1" x14ac:dyDescent="0.3">
      <c r="A1496" s="1006" t="s">
        <v>628</v>
      </c>
      <c r="B1496" s="1007"/>
      <c r="C1496" s="364"/>
      <c r="D1496" s="365">
        <f>SUM(D1489:D1495)</f>
        <v>20505275.809999999</v>
      </c>
      <c r="E1496" s="239"/>
      <c r="F1496" s="239"/>
      <c r="G1496" s="366">
        <f>SUM(G1489:G1495)</f>
        <v>19497619.0352</v>
      </c>
      <c r="H1496" s="239"/>
      <c r="I1496" s="321"/>
      <c r="J1496" s="365">
        <f>SUM(J1489:J1495)</f>
        <v>19038962.989999998</v>
      </c>
      <c r="K1496" s="365">
        <f>SUM(K1489:K1495)</f>
        <v>19038962.991999999</v>
      </c>
      <c r="L1496" s="367"/>
      <c r="M1496" s="365"/>
      <c r="N1496" s="368">
        <f>AVERAGE(N1489:N1495)</f>
        <v>0.91666666666666663</v>
      </c>
      <c r="O1496" s="369"/>
      <c r="P1496" s="176"/>
      <c r="Q1496" s="177"/>
      <c r="R1496" s="132"/>
    </row>
    <row r="1497" spans="1:22" s="69" customFormat="1" ht="33" x14ac:dyDescent="0.25">
      <c r="A1497" s="1082">
        <v>11</v>
      </c>
      <c r="B1497" s="1088" t="s">
        <v>321</v>
      </c>
      <c r="C1497" s="714" t="s">
        <v>500</v>
      </c>
      <c r="D1497" s="272">
        <v>2882495.74</v>
      </c>
      <c r="E1497" s="273" t="s">
        <v>1037</v>
      </c>
      <c r="F1497" s="273" t="s">
        <v>853</v>
      </c>
      <c r="G1497" s="274">
        <v>2882495.74</v>
      </c>
      <c r="H1497" s="212">
        <v>42675</v>
      </c>
      <c r="I1497" s="212">
        <v>42717</v>
      </c>
      <c r="J1497" s="275">
        <v>2880195.92</v>
      </c>
      <c r="K1497" s="275">
        <v>2880195.92</v>
      </c>
      <c r="L1497" s="648"/>
      <c r="M1497" s="276"/>
      <c r="N1497" s="488">
        <v>0.5</v>
      </c>
      <c r="O1497" s="809"/>
      <c r="P1497" s="457"/>
      <c r="Q1497" s="547"/>
      <c r="R1497" s="236"/>
      <c r="S1497" s="68"/>
      <c r="T1497" s="68"/>
      <c r="U1497" s="68"/>
      <c r="V1497" s="68"/>
    </row>
    <row r="1498" spans="1:22" ht="49.5" outlineLevel="1" x14ac:dyDescent="0.25">
      <c r="A1498" s="1070"/>
      <c r="B1498" s="1064"/>
      <c r="C1498" s="294" t="s">
        <v>37</v>
      </c>
      <c r="D1498" s="180">
        <v>105116.56</v>
      </c>
      <c r="E1498" s="181" t="s">
        <v>555</v>
      </c>
      <c r="F1498" s="181" t="s">
        <v>554</v>
      </c>
      <c r="G1498" s="182">
        <f>89081.83*1.18</f>
        <v>105116.5594</v>
      </c>
      <c r="H1498" s="183">
        <v>42429</v>
      </c>
      <c r="I1498" s="183">
        <v>42429</v>
      </c>
      <c r="J1498" s="184">
        <v>105116.56</v>
      </c>
      <c r="K1498" s="184">
        <v>105116.56000000001</v>
      </c>
      <c r="L1498" s="183"/>
      <c r="M1498" s="184">
        <f>J1498-D1498</f>
        <v>0</v>
      </c>
      <c r="N1498" s="202"/>
      <c r="O1498" s="283" t="s">
        <v>731</v>
      </c>
      <c r="P1498" s="176"/>
      <c r="Q1498" s="177"/>
      <c r="R1498" s="132"/>
    </row>
    <row r="1499" spans="1:22" ht="17.25" outlineLevel="1" thickBot="1" x14ac:dyDescent="0.3">
      <c r="A1499" s="1010" t="s">
        <v>628</v>
      </c>
      <c r="B1499" s="1011"/>
      <c r="C1499" s="607"/>
      <c r="D1499" s="577">
        <f>SUM(D1497:D1498)</f>
        <v>2987612.3000000003</v>
      </c>
      <c r="E1499" s="247"/>
      <c r="F1499" s="247"/>
      <c r="G1499" s="706">
        <f>SUM(G1497:G1498)</f>
        <v>2987612.2994000004</v>
      </c>
      <c r="H1499" s="247"/>
      <c r="I1499" s="277"/>
      <c r="J1499" s="577">
        <f>SUM(J1497:J1498)</f>
        <v>2985312.48</v>
      </c>
      <c r="K1499" s="577">
        <f>SUM(K1497:K1498)</f>
        <v>2985312.48</v>
      </c>
      <c r="L1499" s="579"/>
      <c r="M1499" s="480"/>
      <c r="N1499" s="606">
        <f>AVERAGE(N1497:N1498)</f>
        <v>0.5</v>
      </c>
      <c r="O1499" s="707"/>
      <c r="P1499" s="176"/>
      <c r="Q1499" s="177"/>
      <c r="R1499" s="132"/>
    </row>
    <row r="1500" spans="1:22" s="5" customFormat="1" ht="15.75" customHeight="1" x14ac:dyDescent="0.25">
      <c r="A1500" s="1069">
        <v>12</v>
      </c>
      <c r="B1500" s="1075" t="s">
        <v>309</v>
      </c>
      <c r="C1500" s="197" t="s">
        <v>38</v>
      </c>
      <c r="D1500" s="162">
        <v>2041233.57</v>
      </c>
      <c r="E1500" s="1093" t="s">
        <v>762</v>
      </c>
      <c r="F1500" s="1093" t="s">
        <v>763</v>
      </c>
      <c r="G1500" s="353">
        <v>2010238.99</v>
      </c>
      <c r="H1500" s="1083">
        <v>42552</v>
      </c>
      <c r="I1500" s="161">
        <v>42516</v>
      </c>
      <c r="J1500" s="162">
        <v>2041233.57</v>
      </c>
      <c r="K1500" s="162">
        <v>2041233.57</v>
      </c>
      <c r="L1500" s="161"/>
      <c r="M1500" s="275">
        <f>J1500-D1500</f>
        <v>0</v>
      </c>
      <c r="N1500" s="200">
        <v>1</v>
      </c>
      <c r="O1500" s="382"/>
      <c r="P1500" s="176"/>
      <c r="Q1500" s="177"/>
      <c r="R1500" s="168"/>
      <c r="S1500" s="19"/>
      <c r="T1500" s="19"/>
      <c r="U1500" s="19"/>
      <c r="V1500" s="19"/>
    </row>
    <row r="1501" spans="1:22" ht="16.5" outlineLevel="1" x14ac:dyDescent="0.25">
      <c r="A1501" s="1070"/>
      <c r="B1501" s="1076"/>
      <c r="C1501" s="253" t="s">
        <v>34</v>
      </c>
      <c r="D1501" s="163">
        <v>4915759.3899999997</v>
      </c>
      <c r="E1501" s="1084"/>
      <c r="F1501" s="1084"/>
      <c r="G1501" s="354">
        <v>5048785.12</v>
      </c>
      <c r="H1501" s="1084"/>
      <c r="I1501" s="210">
        <v>42516</v>
      </c>
      <c r="J1501" s="163">
        <v>4915759.3899999997</v>
      </c>
      <c r="K1501" s="163">
        <v>4915759.3899999997</v>
      </c>
      <c r="L1501" s="210"/>
      <c r="M1501" s="163">
        <f>J1501-D1501</f>
        <v>0</v>
      </c>
      <c r="N1501" s="213">
        <v>1</v>
      </c>
      <c r="O1501" s="531"/>
      <c r="P1501" s="176"/>
      <c r="Q1501" s="177"/>
      <c r="R1501" s="132"/>
    </row>
    <row r="1502" spans="1:22" ht="16.5" outlineLevel="1" x14ac:dyDescent="0.25">
      <c r="A1502" s="1070"/>
      <c r="B1502" s="1076"/>
      <c r="C1502" s="253" t="s">
        <v>35</v>
      </c>
      <c r="D1502" s="163">
        <v>529012.81000000006</v>
      </c>
      <c r="E1502" s="1084"/>
      <c r="F1502" s="1084"/>
      <c r="G1502" s="354">
        <v>563470.9</v>
      </c>
      <c r="H1502" s="1084"/>
      <c r="I1502" s="210">
        <v>42516</v>
      </c>
      <c r="J1502" s="163">
        <v>529012.81000000006</v>
      </c>
      <c r="K1502" s="163">
        <v>529012.81000000006</v>
      </c>
      <c r="L1502" s="210"/>
      <c r="M1502" s="163">
        <f>J1502-D1502</f>
        <v>0</v>
      </c>
      <c r="N1502" s="213">
        <v>1</v>
      </c>
      <c r="O1502" s="531"/>
      <c r="P1502" s="176"/>
      <c r="Q1502" s="177"/>
      <c r="R1502" s="132"/>
    </row>
    <row r="1503" spans="1:22" ht="16.5" outlineLevel="1" x14ac:dyDescent="0.25">
      <c r="A1503" s="1070"/>
      <c r="B1503" s="1076"/>
      <c r="C1503" s="253" t="s">
        <v>36</v>
      </c>
      <c r="D1503" s="163">
        <v>775080.89</v>
      </c>
      <c r="E1503" s="1084"/>
      <c r="F1503" s="1084"/>
      <c r="G1503" s="354">
        <v>732884.3</v>
      </c>
      <c r="H1503" s="1084"/>
      <c r="I1503" s="210">
        <v>42516</v>
      </c>
      <c r="J1503" s="163">
        <v>775080.8899999999</v>
      </c>
      <c r="K1503" s="163">
        <v>775080.8899999999</v>
      </c>
      <c r="L1503" s="210"/>
      <c r="M1503" s="163">
        <f>J1503-D1503</f>
        <v>0</v>
      </c>
      <c r="N1503" s="213">
        <v>1</v>
      </c>
      <c r="O1503" s="531"/>
      <c r="P1503" s="176"/>
      <c r="Q1503" s="177"/>
      <c r="R1503" s="132"/>
    </row>
    <row r="1504" spans="1:22" ht="33" outlineLevel="1" x14ac:dyDescent="0.25">
      <c r="A1504" s="1070"/>
      <c r="B1504" s="1076"/>
      <c r="C1504" s="337" t="s">
        <v>501</v>
      </c>
      <c r="D1504" s="303">
        <v>9715053.2799999993</v>
      </c>
      <c r="E1504" s="432" t="s">
        <v>1276</v>
      </c>
      <c r="F1504" s="432" t="s">
        <v>1273</v>
      </c>
      <c r="G1504" s="459">
        <v>9715053.2799999993</v>
      </c>
      <c r="H1504" s="171">
        <v>42825</v>
      </c>
      <c r="I1504" s="172"/>
      <c r="J1504" s="173"/>
      <c r="K1504" s="173"/>
      <c r="L1504" s="171"/>
      <c r="M1504" s="173"/>
      <c r="N1504" s="460">
        <v>0</v>
      </c>
      <c r="O1504" s="301"/>
      <c r="P1504" s="176">
        <v>2017</v>
      </c>
      <c r="Q1504" s="177"/>
      <c r="R1504" s="132"/>
    </row>
    <row r="1505" spans="1:22" ht="49.5" outlineLevel="1" x14ac:dyDescent="0.25">
      <c r="A1505" s="1070"/>
      <c r="B1505" s="1076"/>
      <c r="C1505" s="294" t="s">
        <v>37</v>
      </c>
      <c r="D1505" s="180">
        <v>590115.98</v>
      </c>
      <c r="E1505" s="181" t="s">
        <v>577</v>
      </c>
      <c r="F1505" s="181" t="s">
        <v>537</v>
      </c>
      <c r="G1505" s="182">
        <f>500098.29*1.18</f>
        <v>590115.98219999997</v>
      </c>
      <c r="H1505" s="183">
        <v>42394</v>
      </c>
      <c r="I1505" s="183">
        <v>42381</v>
      </c>
      <c r="J1505" s="184">
        <v>590115.98</v>
      </c>
      <c r="K1505" s="184">
        <v>590115.98300000001</v>
      </c>
      <c r="L1505" s="183"/>
      <c r="M1505" s="184">
        <f>J1505-D1505</f>
        <v>0</v>
      </c>
      <c r="N1505" s="202"/>
      <c r="O1505" s="283" t="s">
        <v>717</v>
      </c>
      <c r="P1505" s="176"/>
      <c r="Q1505" s="177"/>
      <c r="R1505" s="132"/>
    </row>
    <row r="1506" spans="1:22" ht="17.25" outlineLevel="1" thickBot="1" x14ac:dyDescent="0.3">
      <c r="A1506" s="1006" t="s">
        <v>628</v>
      </c>
      <c r="B1506" s="1007"/>
      <c r="C1506" s="364"/>
      <c r="D1506" s="365">
        <f>SUM(D1500:D1505)</f>
        <v>18566255.919999998</v>
      </c>
      <c r="E1506" s="239"/>
      <c r="F1506" s="239"/>
      <c r="G1506" s="366">
        <f>SUM(G1500:G1505)</f>
        <v>18660548.5722</v>
      </c>
      <c r="H1506" s="239"/>
      <c r="I1506" s="321"/>
      <c r="J1506" s="365">
        <f>SUM(J1500:J1505)</f>
        <v>8851202.6399999987</v>
      </c>
      <c r="K1506" s="365">
        <f>SUM(K1500:K1505)</f>
        <v>8851202.6429999992</v>
      </c>
      <c r="L1506" s="367"/>
      <c r="M1506" s="365"/>
      <c r="N1506" s="368">
        <f>AVERAGE(N1500:N1505)</f>
        <v>0.8</v>
      </c>
      <c r="O1506" s="369"/>
      <c r="P1506" s="176"/>
      <c r="Q1506" s="177"/>
      <c r="R1506" s="132"/>
    </row>
    <row r="1507" spans="1:22" s="5" customFormat="1" ht="15.75" customHeight="1" x14ac:dyDescent="0.25">
      <c r="A1507" s="1082">
        <v>13</v>
      </c>
      <c r="B1507" s="1081" t="s">
        <v>310</v>
      </c>
      <c r="C1507" s="273" t="s">
        <v>38</v>
      </c>
      <c r="D1507" s="275">
        <v>1313404.08</v>
      </c>
      <c r="E1507" s="985" t="s">
        <v>762</v>
      </c>
      <c r="F1507" s="985" t="s">
        <v>763</v>
      </c>
      <c r="G1507" s="486">
        <v>1314036.3400000001</v>
      </c>
      <c r="H1507" s="976">
        <v>42552</v>
      </c>
      <c r="I1507" s="212">
        <v>42487</v>
      </c>
      <c r="J1507" s="275">
        <v>1313404.08</v>
      </c>
      <c r="K1507" s="276">
        <v>1313404.08</v>
      </c>
      <c r="L1507" s="648"/>
      <c r="M1507" s="163">
        <f>J1507-D1507</f>
        <v>0</v>
      </c>
      <c r="N1507" s="488">
        <v>1</v>
      </c>
      <c r="O1507" s="550"/>
      <c r="P1507" s="176"/>
      <c r="Q1507" s="177"/>
      <c r="R1507" s="168"/>
      <c r="S1507" s="19"/>
      <c r="T1507" s="19"/>
      <c r="U1507" s="19"/>
      <c r="V1507" s="19"/>
    </row>
    <row r="1508" spans="1:22" ht="16.5" outlineLevel="1" x14ac:dyDescent="0.25">
      <c r="A1508" s="1070"/>
      <c r="B1508" s="1076"/>
      <c r="C1508" s="253" t="s">
        <v>34</v>
      </c>
      <c r="D1508" s="163">
        <v>3835380.7</v>
      </c>
      <c r="E1508" s="985"/>
      <c r="F1508" s="985"/>
      <c r="G1508" s="354">
        <v>3801144.59</v>
      </c>
      <c r="H1508" s="985"/>
      <c r="I1508" s="210">
        <v>42506</v>
      </c>
      <c r="J1508" s="163">
        <v>3835380.6999999997</v>
      </c>
      <c r="K1508" s="163">
        <v>3835380.7</v>
      </c>
      <c r="L1508" s="210"/>
      <c r="M1508" s="163">
        <f>J1508-D1508</f>
        <v>0</v>
      </c>
      <c r="N1508" s="213">
        <v>1</v>
      </c>
      <c r="O1508" s="531"/>
      <c r="P1508" s="176"/>
      <c r="Q1508" s="177"/>
      <c r="R1508" s="132"/>
    </row>
    <row r="1509" spans="1:22" ht="16.5" outlineLevel="1" x14ac:dyDescent="0.25">
      <c r="A1509" s="1070"/>
      <c r="B1509" s="1076"/>
      <c r="C1509" s="253" t="s">
        <v>35</v>
      </c>
      <c r="D1509" s="163">
        <v>527651.41</v>
      </c>
      <c r="E1509" s="985"/>
      <c r="F1509" s="985"/>
      <c r="G1509" s="354">
        <v>455685.65</v>
      </c>
      <c r="H1509" s="985"/>
      <c r="I1509" s="210">
        <v>42506</v>
      </c>
      <c r="J1509" s="163">
        <v>527651.41</v>
      </c>
      <c r="K1509" s="163">
        <v>527651.41</v>
      </c>
      <c r="L1509" s="210"/>
      <c r="M1509" s="163">
        <f>J1509-D1509</f>
        <v>0</v>
      </c>
      <c r="N1509" s="213">
        <v>1</v>
      </c>
      <c r="O1509" s="531"/>
      <c r="P1509" s="176"/>
      <c r="Q1509" s="177"/>
      <c r="R1509" s="132"/>
    </row>
    <row r="1510" spans="1:22" ht="16.5" outlineLevel="1" x14ac:dyDescent="0.25">
      <c r="A1510" s="1070"/>
      <c r="B1510" s="1076"/>
      <c r="C1510" s="253" t="s">
        <v>36</v>
      </c>
      <c r="D1510" s="163">
        <v>544456.47</v>
      </c>
      <c r="E1510" s="986"/>
      <c r="F1510" s="986"/>
      <c r="G1510" s="354">
        <v>474835.58</v>
      </c>
      <c r="H1510" s="986"/>
      <c r="I1510" s="212">
        <v>42487</v>
      </c>
      <c r="J1510" s="275">
        <v>544456.47</v>
      </c>
      <c r="K1510" s="163">
        <v>544456.47</v>
      </c>
      <c r="L1510" s="210"/>
      <c r="M1510" s="163">
        <f>J1510-D1510</f>
        <v>0</v>
      </c>
      <c r="N1510" s="213">
        <v>1</v>
      </c>
      <c r="O1510" s="531"/>
      <c r="P1510" s="176"/>
      <c r="Q1510" s="177"/>
      <c r="R1510" s="132"/>
    </row>
    <row r="1511" spans="1:22" ht="27.75" customHeight="1" outlineLevel="1" x14ac:dyDescent="0.25">
      <c r="A1511" s="1070"/>
      <c r="B1511" s="1076"/>
      <c r="C1511" s="253" t="s">
        <v>500</v>
      </c>
      <c r="D1511" s="163">
        <v>3632881.41</v>
      </c>
      <c r="E1511" s="253" t="s">
        <v>774</v>
      </c>
      <c r="F1511" s="253" t="s">
        <v>775</v>
      </c>
      <c r="G1511" s="354">
        <v>3725430.67</v>
      </c>
      <c r="H1511" s="210">
        <v>42515</v>
      </c>
      <c r="I1511" s="210">
        <v>42520</v>
      </c>
      <c r="J1511" s="163">
        <v>3612024.89</v>
      </c>
      <c r="K1511" s="163">
        <v>3612024.89</v>
      </c>
      <c r="L1511" s="210"/>
      <c r="M1511" s="163">
        <f>J1511-D1511</f>
        <v>-20856.520000000019</v>
      </c>
      <c r="N1511" s="213">
        <v>1</v>
      </c>
      <c r="O1511" s="531"/>
      <c r="P1511" s="176"/>
      <c r="Q1511" s="177"/>
      <c r="R1511" s="132"/>
    </row>
    <row r="1512" spans="1:22" ht="33" outlineLevel="1" x14ac:dyDescent="0.25">
      <c r="A1512" s="1070"/>
      <c r="B1512" s="1076"/>
      <c r="C1512" s="337" t="s">
        <v>501</v>
      </c>
      <c r="D1512" s="303">
        <v>7691026.9419999998</v>
      </c>
      <c r="E1512" s="432" t="s">
        <v>1183</v>
      </c>
      <c r="F1512" s="432" t="s">
        <v>866</v>
      </c>
      <c r="G1512" s="459">
        <v>7300000</v>
      </c>
      <c r="H1512" s="171">
        <v>42809</v>
      </c>
      <c r="I1512" s="172"/>
      <c r="J1512" s="173"/>
      <c r="K1512" s="173"/>
      <c r="L1512" s="171"/>
      <c r="M1512" s="173"/>
      <c r="N1512" s="460">
        <v>0</v>
      </c>
      <c r="O1512" s="301"/>
      <c r="P1512" s="176">
        <v>2017</v>
      </c>
      <c r="Q1512" s="177"/>
      <c r="R1512" s="132"/>
    </row>
    <row r="1513" spans="1:22" ht="49.5" outlineLevel="1" x14ac:dyDescent="0.25">
      <c r="A1513" s="1070"/>
      <c r="B1513" s="1076"/>
      <c r="C1513" s="294" t="s">
        <v>37</v>
      </c>
      <c r="D1513" s="180">
        <v>584472</v>
      </c>
      <c r="E1513" s="181" t="s">
        <v>577</v>
      </c>
      <c r="F1513" s="181" t="s">
        <v>537</v>
      </c>
      <c r="G1513" s="182">
        <f>495315.25*1.18</f>
        <v>584471.995</v>
      </c>
      <c r="H1513" s="183">
        <v>42394</v>
      </c>
      <c r="I1513" s="183">
        <v>42381</v>
      </c>
      <c r="J1513" s="184">
        <v>584472</v>
      </c>
      <c r="K1513" s="184">
        <v>584471.99600000004</v>
      </c>
      <c r="L1513" s="183"/>
      <c r="M1513" s="184">
        <f>J1513-D1513</f>
        <v>0</v>
      </c>
      <c r="N1513" s="202"/>
      <c r="O1513" s="283" t="s">
        <v>729</v>
      </c>
      <c r="P1513" s="176"/>
      <c r="Q1513" s="177"/>
      <c r="R1513" s="132"/>
    </row>
    <row r="1514" spans="1:22" ht="17.25" outlineLevel="1" thickBot="1" x14ac:dyDescent="0.3">
      <c r="A1514" s="1006" t="s">
        <v>628</v>
      </c>
      <c r="B1514" s="1007"/>
      <c r="C1514" s="364"/>
      <c r="D1514" s="365">
        <f>SUM(D1507:D1513)</f>
        <v>18129273.012000002</v>
      </c>
      <c r="E1514" s="239"/>
      <c r="F1514" s="239"/>
      <c r="G1514" s="366">
        <f>SUM(G1507:G1513)</f>
        <v>17655604.824999999</v>
      </c>
      <c r="H1514" s="239"/>
      <c r="I1514" s="321"/>
      <c r="J1514" s="365">
        <f>SUM(J1507:J1513)</f>
        <v>10417389.549999999</v>
      </c>
      <c r="K1514" s="365">
        <f>SUM(K1507:K1513)</f>
        <v>10417389.546</v>
      </c>
      <c r="L1514" s="367"/>
      <c r="M1514" s="365"/>
      <c r="N1514" s="368">
        <f>AVERAGE(N1507:N1513)</f>
        <v>0.83333333333333337</v>
      </c>
      <c r="O1514" s="369"/>
      <c r="P1514" s="176"/>
      <c r="Q1514" s="177"/>
      <c r="R1514" s="132"/>
    </row>
    <row r="1515" spans="1:22" s="5" customFormat="1" ht="33" x14ac:dyDescent="0.25">
      <c r="A1515" s="1082">
        <v>14</v>
      </c>
      <c r="B1515" s="1081" t="s">
        <v>311</v>
      </c>
      <c r="C1515" s="272" t="s">
        <v>500</v>
      </c>
      <c r="D1515" s="272">
        <v>6107948.1200000001</v>
      </c>
      <c r="E1515" s="273" t="s">
        <v>774</v>
      </c>
      <c r="F1515" s="273" t="s">
        <v>775</v>
      </c>
      <c r="G1515" s="274">
        <v>6262516.3700000001</v>
      </c>
      <c r="H1515" s="212">
        <v>42515</v>
      </c>
      <c r="I1515" s="210">
        <v>42520</v>
      </c>
      <c r="J1515" s="275">
        <v>6107948.1200000001</v>
      </c>
      <c r="K1515" s="275">
        <v>6107948.1200000001</v>
      </c>
      <c r="L1515" s="212"/>
      <c r="M1515" s="163">
        <f>J1515-D1515</f>
        <v>0</v>
      </c>
      <c r="N1515" s="488">
        <v>1</v>
      </c>
      <c r="O1515" s="810"/>
      <c r="P1515" s="176"/>
      <c r="Q1515" s="177"/>
      <c r="R1515" s="168"/>
      <c r="S1515" s="19"/>
      <c r="T1515" s="19"/>
      <c r="U1515" s="19"/>
      <c r="V1515" s="19"/>
    </row>
    <row r="1516" spans="1:22" ht="33" outlineLevel="1" x14ac:dyDescent="0.25">
      <c r="A1516" s="1070"/>
      <c r="B1516" s="1076"/>
      <c r="C1516" s="339" t="s">
        <v>501</v>
      </c>
      <c r="D1516" s="339">
        <v>9819707.4800000004</v>
      </c>
      <c r="E1516" s="432" t="s">
        <v>1278</v>
      </c>
      <c r="F1516" s="432" t="s">
        <v>1279</v>
      </c>
      <c r="G1516" s="703">
        <v>9300000</v>
      </c>
      <c r="H1516" s="171">
        <v>42809</v>
      </c>
      <c r="I1516" s="172"/>
      <c r="J1516" s="173"/>
      <c r="K1516" s="173"/>
      <c r="L1516" s="171"/>
      <c r="M1516" s="173"/>
      <c r="N1516" s="460">
        <v>0</v>
      </c>
      <c r="O1516" s="733"/>
      <c r="P1516" s="176">
        <v>2017</v>
      </c>
      <c r="Q1516" s="177"/>
      <c r="R1516" s="132"/>
    </row>
    <row r="1517" spans="1:22" ht="49.5" outlineLevel="1" x14ac:dyDescent="0.25">
      <c r="A1517" s="1070"/>
      <c r="B1517" s="1076"/>
      <c r="C1517" s="294" t="s">
        <v>37</v>
      </c>
      <c r="D1517" s="180">
        <v>197739.7</v>
      </c>
      <c r="E1517" s="181" t="s">
        <v>577</v>
      </c>
      <c r="F1517" s="181" t="s">
        <v>537</v>
      </c>
      <c r="G1517" s="182">
        <f>167576.02*1.18</f>
        <v>197739.70359999998</v>
      </c>
      <c r="H1517" s="183">
        <v>42394</v>
      </c>
      <c r="I1517" s="183">
        <v>42381</v>
      </c>
      <c r="J1517" s="184">
        <v>197739.7</v>
      </c>
      <c r="K1517" s="184">
        <v>197739.7</v>
      </c>
      <c r="L1517" s="183"/>
      <c r="M1517" s="184">
        <f>J1517-D1517</f>
        <v>0</v>
      </c>
      <c r="N1517" s="202"/>
      <c r="O1517" s="283" t="s">
        <v>730</v>
      </c>
      <c r="P1517" s="176"/>
      <c r="Q1517" s="177"/>
      <c r="R1517" s="132"/>
    </row>
    <row r="1518" spans="1:22" ht="17.25" outlineLevel="1" thickBot="1" x14ac:dyDescent="0.3">
      <c r="A1518" s="1006" t="s">
        <v>628</v>
      </c>
      <c r="B1518" s="1007"/>
      <c r="C1518" s="481"/>
      <c r="D1518" s="480">
        <f>SUM(D1515:D1517)</f>
        <v>16125395.300000001</v>
      </c>
      <c r="E1518" s="239"/>
      <c r="F1518" s="239"/>
      <c r="G1518" s="693">
        <f>SUM(G1515:G1517)</f>
        <v>15760256.073600002</v>
      </c>
      <c r="H1518" s="239"/>
      <c r="I1518" s="321"/>
      <c r="J1518" s="480">
        <f>SUM(J1515:J1517)</f>
        <v>6305687.8200000003</v>
      </c>
      <c r="K1518" s="480">
        <f>SUM(K1515:K1517)</f>
        <v>6305687.8200000003</v>
      </c>
      <c r="L1518" s="482"/>
      <c r="M1518" s="480"/>
      <c r="N1518" s="421">
        <f>AVERAGE(N1515:N1517)</f>
        <v>0.5</v>
      </c>
      <c r="O1518" s="713"/>
      <c r="P1518" s="176"/>
      <c r="Q1518" s="177"/>
      <c r="R1518" s="132"/>
    </row>
    <row r="1519" spans="1:22" s="5" customFormat="1" ht="33" x14ac:dyDescent="0.25">
      <c r="A1519" s="1069">
        <v>15</v>
      </c>
      <c r="B1519" s="1075" t="s">
        <v>312</v>
      </c>
      <c r="C1519" s="159" t="s">
        <v>500</v>
      </c>
      <c r="D1519" s="159">
        <v>7383947.4900000002</v>
      </c>
      <c r="E1519" s="253" t="s">
        <v>776</v>
      </c>
      <c r="F1519" s="253" t="s">
        <v>775</v>
      </c>
      <c r="G1519" s="160">
        <v>7538891.8499999996</v>
      </c>
      <c r="H1519" s="210">
        <v>42515</v>
      </c>
      <c r="I1519" s="210">
        <v>42520</v>
      </c>
      <c r="J1519" s="162">
        <v>7383947.4900000002</v>
      </c>
      <c r="K1519" s="162">
        <v>7383947.4900000002</v>
      </c>
      <c r="L1519" s="161"/>
      <c r="M1519" s="163">
        <f>J1519-D1519</f>
        <v>0</v>
      </c>
      <c r="N1519" s="200">
        <v>1</v>
      </c>
      <c r="O1519" s="233"/>
      <c r="P1519" s="176"/>
      <c r="Q1519" s="177"/>
      <c r="R1519" s="168"/>
      <c r="S1519" s="19"/>
      <c r="T1519" s="19"/>
      <c r="U1519" s="19"/>
      <c r="V1519" s="19"/>
    </row>
    <row r="1520" spans="1:22" ht="33" outlineLevel="1" x14ac:dyDescent="0.25">
      <c r="A1520" s="1070"/>
      <c r="B1520" s="1076"/>
      <c r="C1520" s="339" t="s">
        <v>501</v>
      </c>
      <c r="D1520" s="575">
        <v>11269531</v>
      </c>
      <c r="E1520" s="432" t="s">
        <v>1181</v>
      </c>
      <c r="F1520" s="432" t="s">
        <v>866</v>
      </c>
      <c r="G1520" s="703">
        <v>10700000</v>
      </c>
      <c r="H1520" s="171">
        <v>42809</v>
      </c>
      <c r="I1520" s="172"/>
      <c r="J1520" s="173"/>
      <c r="K1520" s="173"/>
      <c r="L1520" s="171"/>
      <c r="M1520" s="173"/>
      <c r="N1520" s="460">
        <v>0</v>
      </c>
      <c r="O1520" s="733"/>
      <c r="P1520" s="176">
        <v>2017</v>
      </c>
      <c r="Q1520" s="177"/>
      <c r="R1520" s="132"/>
    </row>
    <row r="1521" spans="1:22" ht="49.5" outlineLevel="1" x14ac:dyDescent="0.25">
      <c r="A1521" s="1070"/>
      <c r="B1521" s="1076"/>
      <c r="C1521" s="294" t="s">
        <v>37</v>
      </c>
      <c r="D1521" s="180">
        <v>201739.47</v>
      </c>
      <c r="E1521" s="181" t="s">
        <v>577</v>
      </c>
      <c r="F1521" s="181" t="s">
        <v>537</v>
      </c>
      <c r="G1521" s="182">
        <f>170965.65*1.18</f>
        <v>201739.46699999998</v>
      </c>
      <c r="H1521" s="183">
        <v>42394</v>
      </c>
      <c r="I1521" s="183">
        <v>42381</v>
      </c>
      <c r="J1521" s="184">
        <v>201739.47</v>
      </c>
      <c r="K1521" s="184">
        <v>201739.46600000001</v>
      </c>
      <c r="L1521" s="183"/>
      <c r="M1521" s="184">
        <f>J1521-D1521</f>
        <v>0</v>
      </c>
      <c r="N1521" s="202"/>
      <c r="O1521" s="283" t="s">
        <v>730</v>
      </c>
      <c r="P1521" s="176"/>
      <c r="Q1521" s="177"/>
      <c r="R1521" s="132"/>
    </row>
    <row r="1522" spans="1:22" ht="17.25" outlineLevel="1" thickBot="1" x14ac:dyDescent="0.3">
      <c r="A1522" s="1006" t="s">
        <v>628</v>
      </c>
      <c r="B1522" s="1007"/>
      <c r="C1522" s="481"/>
      <c r="D1522" s="480">
        <f>SUM(D1519:D1521)</f>
        <v>18855217.960000001</v>
      </c>
      <c r="E1522" s="239"/>
      <c r="F1522" s="239"/>
      <c r="G1522" s="693">
        <f>SUM(G1519:G1521)</f>
        <v>18440631.317000002</v>
      </c>
      <c r="H1522" s="239"/>
      <c r="I1522" s="321"/>
      <c r="J1522" s="480">
        <f>SUM(J1519:J1521)</f>
        <v>7585686.96</v>
      </c>
      <c r="K1522" s="480">
        <f>SUM(K1519:K1521)</f>
        <v>7585686.9560000002</v>
      </c>
      <c r="L1522" s="482"/>
      <c r="M1522" s="480"/>
      <c r="N1522" s="421">
        <f>AVERAGE(N1519:N1521)</f>
        <v>0.5</v>
      </c>
      <c r="O1522" s="713"/>
      <c r="P1522" s="176"/>
      <c r="Q1522" s="177"/>
      <c r="R1522" s="132"/>
    </row>
    <row r="1523" spans="1:22" s="5" customFormat="1" ht="16.5" x14ac:dyDescent="0.25">
      <c r="A1523" s="1069">
        <v>16</v>
      </c>
      <c r="B1523" s="1075" t="s">
        <v>313</v>
      </c>
      <c r="C1523" s="696" t="s">
        <v>501</v>
      </c>
      <c r="D1523" s="696">
        <v>6792021</v>
      </c>
      <c r="E1523" s="220" t="s">
        <v>1271</v>
      </c>
      <c r="F1523" s="220" t="s">
        <v>862</v>
      </c>
      <c r="G1523" s="698">
        <v>6790000</v>
      </c>
      <c r="H1523" s="223">
        <v>42809</v>
      </c>
      <c r="I1523" s="224"/>
      <c r="J1523" s="225"/>
      <c r="K1523" s="225"/>
      <c r="L1523" s="226"/>
      <c r="M1523" s="225"/>
      <c r="N1523" s="376">
        <v>0</v>
      </c>
      <c r="O1523" s="736"/>
      <c r="P1523" s="176">
        <v>2017</v>
      </c>
      <c r="Q1523" s="177"/>
      <c r="R1523" s="168"/>
      <c r="S1523" s="19"/>
      <c r="T1523" s="19"/>
      <c r="U1523" s="19"/>
      <c r="V1523" s="19"/>
    </row>
    <row r="1524" spans="1:22" ht="49.5" outlineLevel="1" x14ac:dyDescent="0.25">
      <c r="A1524" s="1070"/>
      <c r="B1524" s="1076"/>
      <c r="C1524" s="294" t="s">
        <v>37</v>
      </c>
      <c r="D1524" s="180">
        <v>95178.92</v>
      </c>
      <c r="E1524" s="181" t="s">
        <v>577</v>
      </c>
      <c r="F1524" s="181" t="s">
        <v>537</v>
      </c>
      <c r="G1524" s="182">
        <f>80660.1*1.18</f>
        <v>95178.918000000005</v>
      </c>
      <c r="H1524" s="183">
        <v>42394</v>
      </c>
      <c r="I1524" s="183">
        <v>42381</v>
      </c>
      <c r="J1524" s="184">
        <v>95178.92</v>
      </c>
      <c r="K1524" s="184">
        <v>95178.92</v>
      </c>
      <c r="L1524" s="183"/>
      <c r="M1524" s="184">
        <f>J1524-D1524</f>
        <v>0</v>
      </c>
      <c r="N1524" s="202"/>
      <c r="O1524" s="283" t="s">
        <v>732</v>
      </c>
      <c r="P1524" s="176"/>
      <c r="Q1524" s="177"/>
      <c r="R1524" s="132"/>
    </row>
    <row r="1525" spans="1:22" ht="17.25" outlineLevel="1" thickBot="1" x14ac:dyDescent="0.3">
      <c r="A1525" s="1010" t="s">
        <v>628</v>
      </c>
      <c r="B1525" s="1011"/>
      <c r="C1525" s="585"/>
      <c r="D1525" s="577">
        <f>SUM(D1523:D1524)</f>
        <v>6887199.9199999999</v>
      </c>
      <c r="E1525" s="247"/>
      <c r="F1525" s="247"/>
      <c r="G1525" s="706">
        <f>SUM(G1523:G1524)</f>
        <v>6885178.9179999996</v>
      </c>
      <c r="H1525" s="247"/>
      <c r="I1525" s="277"/>
      <c r="J1525" s="577">
        <f>SUM(J1523:J1524)</f>
        <v>95178.92</v>
      </c>
      <c r="K1525" s="577">
        <f>SUM(K1523:K1524)</f>
        <v>95178.92</v>
      </c>
      <c r="L1525" s="579"/>
      <c r="M1525" s="577"/>
      <c r="N1525" s="421">
        <f>AVERAGE(N1523:N1524)</f>
        <v>0</v>
      </c>
      <c r="O1525" s="734"/>
      <c r="P1525" s="176"/>
      <c r="Q1525" s="177"/>
      <c r="R1525" s="132"/>
    </row>
    <row r="1526" spans="1:22" s="5" customFormat="1" ht="15.75" customHeight="1" x14ac:dyDescent="0.25">
      <c r="A1526" s="1069">
        <v>17</v>
      </c>
      <c r="B1526" s="1075" t="s">
        <v>314</v>
      </c>
      <c r="C1526" s="197" t="s">
        <v>38</v>
      </c>
      <c r="D1526" s="162">
        <v>1474088.34</v>
      </c>
      <c r="E1526" s="1051" t="s">
        <v>773</v>
      </c>
      <c r="F1526" s="984" t="s">
        <v>752</v>
      </c>
      <c r="G1526" s="353">
        <v>1502015.16</v>
      </c>
      <c r="H1526" s="161">
        <v>42551</v>
      </c>
      <c r="I1526" s="161">
        <v>42580</v>
      </c>
      <c r="J1526" s="162">
        <v>1474088.34</v>
      </c>
      <c r="K1526" s="162">
        <v>1474088.34</v>
      </c>
      <c r="L1526" s="975">
        <v>42695</v>
      </c>
      <c r="M1526" s="199"/>
      <c r="N1526" s="200">
        <v>1</v>
      </c>
      <c r="O1526" s="370"/>
      <c r="P1526" s="176"/>
      <c r="Q1526" s="1029" t="s">
        <v>1141</v>
      </c>
      <c r="R1526" s="168"/>
      <c r="S1526" s="19"/>
      <c r="T1526" s="19"/>
      <c r="U1526" s="19"/>
      <c r="V1526" s="19"/>
    </row>
    <row r="1527" spans="1:22" ht="16.5" outlineLevel="1" x14ac:dyDescent="0.25">
      <c r="A1527" s="1070"/>
      <c r="B1527" s="1076"/>
      <c r="C1527" s="253" t="s">
        <v>34</v>
      </c>
      <c r="D1527" s="163">
        <v>4299626.33</v>
      </c>
      <c r="E1527" s="1052"/>
      <c r="F1527" s="985"/>
      <c r="G1527" s="354">
        <v>4533518.0599999996</v>
      </c>
      <c r="H1527" s="210">
        <v>42582</v>
      </c>
      <c r="I1527" s="210">
        <v>42580</v>
      </c>
      <c r="J1527" s="163">
        <v>4299626.33</v>
      </c>
      <c r="K1527" s="163">
        <v>4299626.33</v>
      </c>
      <c r="L1527" s="976"/>
      <c r="M1527" s="163"/>
      <c r="N1527" s="213">
        <v>1</v>
      </c>
      <c r="O1527" s="301"/>
      <c r="P1527" s="176"/>
      <c r="Q1527" s="1030"/>
      <c r="R1527" s="132"/>
    </row>
    <row r="1528" spans="1:22" ht="16.5" outlineLevel="1" x14ac:dyDescent="0.25">
      <c r="A1528" s="1070"/>
      <c r="B1528" s="1076"/>
      <c r="C1528" s="253" t="s">
        <v>35</v>
      </c>
      <c r="D1528" s="253">
        <v>946103.1</v>
      </c>
      <c r="E1528" s="1053"/>
      <c r="F1528" s="986"/>
      <c r="G1528" s="354">
        <v>968499.19</v>
      </c>
      <c r="H1528" s="212">
        <v>42551</v>
      </c>
      <c r="I1528" s="210">
        <v>42580</v>
      </c>
      <c r="J1528" s="163">
        <v>946103.1</v>
      </c>
      <c r="K1528" s="163">
        <v>946103.1</v>
      </c>
      <c r="L1528" s="977"/>
      <c r="M1528" s="163"/>
      <c r="N1528" s="213">
        <v>1</v>
      </c>
      <c r="O1528" s="301"/>
      <c r="P1528" s="176"/>
      <c r="Q1528" s="1031"/>
      <c r="R1528" s="132"/>
    </row>
    <row r="1529" spans="1:22" ht="33" outlineLevel="1" x14ac:dyDescent="0.25">
      <c r="A1529" s="1070"/>
      <c r="B1529" s="1076"/>
      <c r="C1529" s="253" t="s">
        <v>36</v>
      </c>
      <c r="D1529" s="253">
        <v>1070580.8400000001</v>
      </c>
      <c r="E1529" s="253" t="s">
        <v>986</v>
      </c>
      <c r="F1529" s="253" t="s">
        <v>985</v>
      </c>
      <c r="G1529" s="354">
        <v>1301052.6599999999</v>
      </c>
      <c r="H1529" s="210">
        <v>42638</v>
      </c>
      <c r="I1529" s="210">
        <v>42642</v>
      </c>
      <c r="J1529" s="163">
        <v>1070580.8400000001</v>
      </c>
      <c r="K1529" s="163">
        <v>1070580.8400000001</v>
      </c>
      <c r="L1529" s="210"/>
      <c r="M1529" s="163"/>
      <c r="N1529" s="213">
        <v>1</v>
      </c>
      <c r="O1529" s="301"/>
      <c r="P1529" s="176"/>
      <c r="Q1529" s="201" t="s">
        <v>1121</v>
      </c>
      <c r="R1529" s="132"/>
    </row>
    <row r="1530" spans="1:22" ht="33" outlineLevel="1" x14ac:dyDescent="0.25">
      <c r="A1530" s="1070"/>
      <c r="B1530" s="1076"/>
      <c r="C1530" s="337" t="s">
        <v>501</v>
      </c>
      <c r="D1530" s="303">
        <v>12240339.119999999</v>
      </c>
      <c r="E1530" s="432" t="s">
        <v>1275</v>
      </c>
      <c r="F1530" s="432" t="s">
        <v>1273</v>
      </c>
      <c r="G1530" s="459">
        <v>12240339.119999999</v>
      </c>
      <c r="H1530" s="171">
        <v>42825</v>
      </c>
      <c r="I1530" s="172"/>
      <c r="J1530" s="173"/>
      <c r="K1530" s="173"/>
      <c r="L1530" s="171"/>
      <c r="M1530" s="173"/>
      <c r="N1530" s="460">
        <v>0</v>
      </c>
      <c r="O1530" s="301"/>
      <c r="P1530" s="176">
        <v>2017</v>
      </c>
      <c r="Q1530" s="177"/>
      <c r="R1530" s="132"/>
    </row>
    <row r="1531" spans="1:22" ht="49.5" outlineLevel="1" x14ac:dyDescent="0.25">
      <c r="A1531" s="1070"/>
      <c r="B1531" s="1076"/>
      <c r="C1531" s="294" t="s">
        <v>37</v>
      </c>
      <c r="D1531" s="180">
        <v>530522.25</v>
      </c>
      <c r="E1531" s="181" t="s">
        <v>577</v>
      </c>
      <c r="F1531" s="181" t="s">
        <v>537</v>
      </c>
      <c r="G1531" s="182">
        <f>500816.11*1.18</f>
        <v>590963.0098</v>
      </c>
      <c r="H1531" s="183">
        <v>42394</v>
      </c>
      <c r="I1531" s="183">
        <v>42381</v>
      </c>
      <c r="J1531" s="184">
        <v>530522.25</v>
      </c>
      <c r="K1531" s="184">
        <v>530522.25</v>
      </c>
      <c r="L1531" s="183"/>
      <c r="M1531" s="184">
        <f>J1531-D1531</f>
        <v>0</v>
      </c>
      <c r="N1531" s="202"/>
      <c r="O1531" s="283" t="s">
        <v>732</v>
      </c>
      <c r="P1531" s="176"/>
      <c r="Q1531" s="177"/>
      <c r="R1531" s="132"/>
    </row>
    <row r="1532" spans="1:22" ht="17.25" outlineLevel="1" thickBot="1" x14ac:dyDescent="0.3">
      <c r="A1532" s="1006" t="s">
        <v>628</v>
      </c>
      <c r="B1532" s="1007"/>
      <c r="C1532" s="364"/>
      <c r="D1532" s="365">
        <f>SUM(D1526:D1531)</f>
        <v>20561259.979999997</v>
      </c>
      <c r="E1532" s="239"/>
      <c r="F1532" s="239"/>
      <c r="G1532" s="366">
        <f>SUM(G1526:G1531)</f>
        <v>21136387.199799996</v>
      </c>
      <c r="H1532" s="239"/>
      <c r="I1532" s="321"/>
      <c r="J1532" s="365">
        <f>SUM(J1526:J1531)</f>
        <v>8320920.8599999994</v>
      </c>
      <c r="K1532" s="365">
        <f>SUM(K1526:K1531)</f>
        <v>8320920.8599999994</v>
      </c>
      <c r="L1532" s="367"/>
      <c r="M1532" s="365"/>
      <c r="N1532" s="368">
        <f>AVERAGE(N1526:N1531)</f>
        <v>0.8</v>
      </c>
      <c r="O1532" s="369"/>
      <c r="P1532" s="176"/>
      <c r="Q1532" s="177"/>
      <c r="R1532" s="132"/>
    </row>
    <row r="1533" spans="1:22" s="5" customFormat="1" ht="49.5" x14ac:dyDescent="0.25">
      <c r="A1533" s="1069">
        <v>18</v>
      </c>
      <c r="B1533" s="1075" t="s">
        <v>315</v>
      </c>
      <c r="C1533" s="197" t="s">
        <v>38</v>
      </c>
      <c r="D1533" s="163">
        <v>2163101.25</v>
      </c>
      <c r="E1533" s="1051" t="s">
        <v>773</v>
      </c>
      <c r="F1533" s="984" t="s">
        <v>752</v>
      </c>
      <c r="G1533" s="162">
        <v>2205451.2000000002</v>
      </c>
      <c r="H1533" s="161">
        <v>42551</v>
      </c>
      <c r="I1533" s="161">
        <v>42580</v>
      </c>
      <c r="J1533" s="162">
        <v>2163101.25</v>
      </c>
      <c r="K1533" s="162">
        <v>2163101.25</v>
      </c>
      <c r="L1533" s="161">
        <v>42695</v>
      </c>
      <c r="M1533" s="199"/>
      <c r="N1533" s="200">
        <v>1</v>
      </c>
      <c r="O1533" s="370"/>
      <c r="P1533" s="176"/>
      <c r="Q1533" s="280" t="s">
        <v>1118</v>
      </c>
      <c r="R1533" s="168"/>
      <c r="S1533" s="19"/>
      <c r="T1533" s="19"/>
      <c r="U1533" s="19"/>
      <c r="V1533" s="19"/>
    </row>
    <row r="1534" spans="1:22" ht="16.5" outlineLevel="1" x14ac:dyDescent="0.25">
      <c r="A1534" s="1070"/>
      <c r="B1534" s="1076"/>
      <c r="C1534" s="253" t="s">
        <v>34</v>
      </c>
      <c r="D1534" s="163">
        <v>2143567.5699999998</v>
      </c>
      <c r="E1534" s="1052"/>
      <c r="F1534" s="985"/>
      <c r="G1534" s="486">
        <v>2194309.6800000002</v>
      </c>
      <c r="H1534" s="210">
        <v>42582</v>
      </c>
      <c r="I1534" s="210">
        <v>42580</v>
      </c>
      <c r="J1534" s="163">
        <v>2143567.5699999998</v>
      </c>
      <c r="K1534" s="163">
        <v>2143567.5699999998</v>
      </c>
      <c r="L1534" s="210"/>
      <c r="M1534" s="163"/>
      <c r="N1534" s="213">
        <v>1</v>
      </c>
      <c r="O1534" s="301"/>
      <c r="P1534" s="176"/>
      <c r="Q1534" s="177"/>
      <c r="R1534" s="132"/>
    </row>
    <row r="1535" spans="1:22" ht="49.5" outlineLevel="1" x14ac:dyDescent="0.25">
      <c r="A1535" s="1070"/>
      <c r="B1535" s="1076"/>
      <c r="C1535" s="253" t="s">
        <v>35</v>
      </c>
      <c r="D1535" s="253">
        <v>573019.52</v>
      </c>
      <c r="E1535" s="1053"/>
      <c r="F1535" s="986"/>
      <c r="G1535" s="354">
        <v>586584.23</v>
      </c>
      <c r="H1535" s="212">
        <v>42551</v>
      </c>
      <c r="I1535" s="210">
        <v>42580</v>
      </c>
      <c r="J1535" s="163">
        <v>573019.52</v>
      </c>
      <c r="K1535" s="163">
        <v>573019.52</v>
      </c>
      <c r="L1535" s="210">
        <v>42695</v>
      </c>
      <c r="M1535" s="163"/>
      <c r="N1535" s="213">
        <v>1</v>
      </c>
      <c r="O1535" s="301"/>
      <c r="P1535" s="176"/>
      <c r="Q1535" s="280" t="s">
        <v>1118</v>
      </c>
      <c r="R1535" s="132"/>
    </row>
    <row r="1536" spans="1:22" ht="33" outlineLevel="1" x14ac:dyDescent="0.25">
      <c r="A1536" s="1070"/>
      <c r="B1536" s="1076"/>
      <c r="C1536" s="253" t="s">
        <v>36</v>
      </c>
      <c r="D1536" s="253">
        <v>1294408.6100000001</v>
      </c>
      <c r="E1536" s="253" t="s">
        <v>986</v>
      </c>
      <c r="F1536" s="253" t="s">
        <v>985</v>
      </c>
      <c r="G1536" s="354">
        <v>1563962.56</v>
      </c>
      <c r="H1536" s="210">
        <v>42638</v>
      </c>
      <c r="I1536" s="210">
        <v>42642</v>
      </c>
      <c r="J1536" s="163">
        <v>1294408.6100000001</v>
      </c>
      <c r="K1536" s="163">
        <v>1294408.6100000001</v>
      </c>
      <c r="L1536" s="210">
        <v>1294408.6100000001</v>
      </c>
      <c r="M1536" s="163">
        <v>1294408.6100000001</v>
      </c>
      <c r="N1536" s="213">
        <v>1</v>
      </c>
      <c r="O1536" s="173">
        <v>1294408.6100000001</v>
      </c>
      <c r="P1536" s="173">
        <v>1294408.6100000001</v>
      </c>
      <c r="Q1536" s="173">
        <v>1294408.6100000001</v>
      </c>
      <c r="R1536" s="173">
        <v>1294408.6100000001</v>
      </c>
    </row>
    <row r="1537" spans="1:22" ht="33" outlineLevel="1" x14ac:dyDescent="0.25">
      <c r="A1537" s="1070"/>
      <c r="B1537" s="1076"/>
      <c r="C1537" s="253" t="s">
        <v>500</v>
      </c>
      <c r="D1537" s="163">
        <v>8874136.6600000001</v>
      </c>
      <c r="E1537" s="253" t="s">
        <v>776</v>
      </c>
      <c r="F1537" s="253" t="s">
        <v>775</v>
      </c>
      <c r="G1537" s="354">
        <v>9092840.0500000007</v>
      </c>
      <c r="H1537" s="210">
        <v>42515</v>
      </c>
      <c r="I1537" s="210">
        <v>42520</v>
      </c>
      <c r="J1537" s="163">
        <v>8874136.6600000001</v>
      </c>
      <c r="K1537" s="163">
        <v>8874136.6600000001</v>
      </c>
      <c r="L1537" s="210"/>
      <c r="M1537" s="163">
        <f>J1537-D1537</f>
        <v>0</v>
      </c>
      <c r="N1537" s="213">
        <v>1</v>
      </c>
      <c r="O1537" s="531"/>
      <c r="P1537" s="176"/>
      <c r="Q1537" s="177"/>
      <c r="R1537" s="132"/>
    </row>
    <row r="1538" spans="1:22" ht="33" outlineLevel="1" x14ac:dyDescent="0.25">
      <c r="A1538" s="1070"/>
      <c r="B1538" s="1076"/>
      <c r="C1538" s="337" t="s">
        <v>501</v>
      </c>
      <c r="D1538" s="303">
        <v>11908901.02</v>
      </c>
      <c r="E1538" s="432" t="s">
        <v>1283</v>
      </c>
      <c r="F1538" s="432" t="s">
        <v>1273</v>
      </c>
      <c r="G1538" s="459">
        <v>11908901.02</v>
      </c>
      <c r="H1538" s="171">
        <v>42825</v>
      </c>
      <c r="I1538" s="172"/>
      <c r="J1538" s="173"/>
      <c r="K1538" s="173"/>
      <c r="L1538" s="171"/>
      <c r="M1538" s="173"/>
      <c r="N1538" s="460">
        <v>0</v>
      </c>
      <c r="O1538" s="301"/>
      <c r="P1538" s="176">
        <v>2017</v>
      </c>
      <c r="Q1538" s="177"/>
      <c r="R1538" s="132"/>
    </row>
    <row r="1539" spans="1:22" ht="49.5" outlineLevel="1" x14ac:dyDescent="0.25">
      <c r="A1539" s="1070"/>
      <c r="B1539" s="1076"/>
      <c r="C1539" s="294" t="s">
        <v>37</v>
      </c>
      <c r="D1539" s="180">
        <v>531942.09</v>
      </c>
      <c r="E1539" s="181" t="s">
        <v>577</v>
      </c>
      <c r="F1539" s="181" t="s">
        <v>537</v>
      </c>
      <c r="G1539" s="182">
        <f>492119.15*1.18</f>
        <v>580700.59699999995</v>
      </c>
      <c r="H1539" s="183">
        <v>42394</v>
      </c>
      <c r="I1539" s="183">
        <v>42381</v>
      </c>
      <c r="J1539" s="184">
        <v>531942.09</v>
      </c>
      <c r="K1539" s="184">
        <v>531942.09</v>
      </c>
      <c r="L1539" s="183"/>
      <c r="M1539" s="184">
        <f>J1539-D1539</f>
        <v>0</v>
      </c>
      <c r="N1539" s="202"/>
      <c r="O1539" s="283" t="s">
        <v>732</v>
      </c>
      <c r="P1539" s="176"/>
      <c r="Q1539" s="177"/>
      <c r="R1539" s="132"/>
    </row>
    <row r="1540" spans="1:22" ht="17.25" outlineLevel="1" thickBot="1" x14ac:dyDescent="0.3">
      <c r="A1540" s="1006" t="s">
        <v>628</v>
      </c>
      <c r="B1540" s="1007"/>
      <c r="C1540" s="364"/>
      <c r="D1540" s="365">
        <f>SUM(D1533:D1539)</f>
        <v>27489076.719999999</v>
      </c>
      <c r="E1540" s="239"/>
      <c r="F1540" s="239"/>
      <c r="G1540" s="366">
        <f>SUM(G1533:G1539)</f>
        <v>28132749.337000001</v>
      </c>
      <c r="H1540" s="239"/>
      <c r="I1540" s="321"/>
      <c r="J1540" s="365">
        <f>SUM(J1533:J1539)</f>
        <v>15580175.699999999</v>
      </c>
      <c r="K1540" s="365">
        <f>SUM(K1533:K1539)</f>
        <v>15580175.699999999</v>
      </c>
      <c r="L1540" s="367"/>
      <c r="M1540" s="365"/>
      <c r="N1540" s="368">
        <f>AVERAGE(N1533:N1539)</f>
        <v>0.83333333333333337</v>
      </c>
      <c r="O1540" s="369"/>
      <c r="P1540" s="176"/>
      <c r="Q1540" s="177"/>
      <c r="R1540" s="132"/>
    </row>
    <row r="1541" spans="1:22" s="5" customFormat="1" ht="33" customHeight="1" x14ac:dyDescent="0.25">
      <c r="A1541" s="1069">
        <v>19</v>
      </c>
      <c r="B1541" s="1080" t="s">
        <v>318</v>
      </c>
      <c r="C1541" s="197" t="s">
        <v>500</v>
      </c>
      <c r="D1541" s="162">
        <v>2708009.5</v>
      </c>
      <c r="E1541" s="197" t="s">
        <v>890</v>
      </c>
      <c r="F1541" s="197" t="s">
        <v>804</v>
      </c>
      <c r="G1541" s="353">
        <v>3100000</v>
      </c>
      <c r="H1541" s="161">
        <v>42566</v>
      </c>
      <c r="I1541" s="161">
        <v>42573</v>
      </c>
      <c r="J1541" s="162">
        <v>2708009.5</v>
      </c>
      <c r="K1541" s="162">
        <v>2708009.5</v>
      </c>
      <c r="L1541" s="198"/>
      <c r="M1541" s="199"/>
      <c r="N1541" s="200">
        <v>1</v>
      </c>
      <c r="O1541" s="370"/>
      <c r="P1541" s="176"/>
      <c r="Q1541" s="177"/>
      <c r="R1541" s="168"/>
      <c r="S1541" s="19"/>
      <c r="T1541" s="19"/>
      <c r="U1541" s="19"/>
      <c r="V1541" s="19"/>
    </row>
    <row r="1542" spans="1:22" ht="49.5" outlineLevel="1" x14ac:dyDescent="0.25">
      <c r="A1542" s="1070"/>
      <c r="B1542" s="1064"/>
      <c r="C1542" s="294" t="s">
        <v>37</v>
      </c>
      <c r="D1542" s="180">
        <v>107115.54</v>
      </c>
      <c r="E1542" s="181" t="s">
        <v>555</v>
      </c>
      <c r="F1542" s="181" t="s">
        <v>554</v>
      </c>
      <c r="G1542" s="182">
        <f>90775.88*1.18</f>
        <v>107115.5384</v>
      </c>
      <c r="H1542" s="183">
        <v>42429</v>
      </c>
      <c r="I1542" s="183">
        <v>42429</v>
      </c>
      <c r="J1542" s="184">
        <v>107115.54</v>
      </c>
      <c r="K1542" s="184">
        <v>107115.54000000001</v>
      </c>
      <c r="L1542" s="183"/>
      <c r="M1542" s="184">
        <f>J1542-D1542</f>
        <v>0</v>
      </c>
      <c r="N1542" s="202"/>
      <c r="O1542" s="283" t="s">
        <v>732</v>
      </c>
      <c r="P1542" s="176"/>
      <c r="Q1542" s="177"/>
      <c r="R1542" s="132"/>
    </row>
    <row r="1543" spans="1:22" ht="17.25" outlineLevel="1" thickBot="1" x14ac:dyDescent="0.3">
      <c r="A1543" s="1010" t="s">
        <v>628</v>
      </c>
      <c r="B1543" s="1011"/>
      <c r="C1543" s="377"/>
      <c r="D1543" s="378">
        <f>SUM(D1541:D1542)</f>
        <v>2815125.04</v>
      </c>
      <c r="E1543" s="247"/>
      <c r="F1543" s="247"/>
      <c r="G1543" s="379">
        <f>SUM(G1541:G1542)</f>
        <v>3207115.5384</v>
      </c>
      <c r="H1543" s="247"/>
      <c r="I1543" s="277"/>
      <c r="J1543" s="378">
        <f>SUM(J1541:J1542)</f>
        <v>2815125.04</v>
      </c>
      <c r="K1543" s="378">
        <f>SUM(K1541:K1542)</f>
        <v>2815125.04</v>
      </c>
      <c r="L1543" s="380"/>
      <c r="M1543" s="378"/>
      <c r="N1543" s="421">
        <f>AVERAGE(N1541:N1542)</f>
        <v>1</v>
      </c>
      <c r="O1543" s="381"/>
      <c r="P1543" s="176"/>
      <c r="Q1543" s="177"/>
      <c r="R1543" s="132"/>
    </row>
    <row r="1544" spans="1:22" s="69" customFormat="1" ht="43.5" customHeight="1" x14ac:dyDescent="0.25">
      <c r="A1544" s="1069">
        <v>20</v>
      </c>
      <c r="B1544" s="1080" t="s">
        <v>328</v>
      </c>
      <c r="C1544" s="197" t="s">
        <v>500</v>
      </c>
      <c r="D1544" s="162">
        <v>6798138.1200000001</v>
      </c>
      <c r="E1544" s="197" t="s">
        <v>1037</v>
      </c>
      <c r="F1544" s="197" t="s">
        <v>853</v>
      </c>
      <c r="G1544" s="353">
        <v>6798138.1200000001</v>
      </c>
      <c r="H1544" s="197" t="s">
        <v>1038</v>
      </c>
      <c r="I1544" s="161">
        <v>42717</v>
      </c>
      <c r="J1544" s="162">
        <v>6796126.2199999997</v>
      </c>
      <c r="K1544" s="162">
        <v>6796126.2199999997</v>
      </c>
      <c r="L1544" s="198"/>
      <c r="M1544" s="199"/>
      <c r="N1544" s="200">
        <v>0.95</v>
      </c>
      <c r="O1544" s="382"/>
      <c r="P1544" s="457"/>
      <c r="Q1544" s="547"/>
      <c r="R1544" s="236"/>
      <c r="S1544" s="68"/>
      <c r="T1544" s="68"/>
      <c r="U1544" s="68"/>
      <c r="V1544" s="68"/>
    </row>
    <row r="1545" spans="1:22" ht="49.5" outlineLevel="1" x14ac:dyDescent="0.25">
      <c r="A1545" s="1070"/>
      <c r="B1545" s="1064"/>
      <c r="C1545" s="294" t="s">
        <v>37</v>
      </c>
      <c r="D1545" s="180">
        <v>89536.06</v>
      </c>
      <c r="E1545" s="181" t="s">
        <v>555</v>
      </c>
      <c r="F1545" s="181" t="s">
        <v>554</v>
      </c>
      <c r="G1545" s="182">
        <f>75878.02*1.18</f>
        <v>89536.063599999994</v>
      </c>
      <c r="H1545" s="183">
        <v>42429</v>
      </c>
      <c r="I1545" s="183">
        <v>42429</v>
      </c>
      <c r="J1545" s="184">
        <v>89536.06</v>
      </c>
      <c r="K1545" s="184">
        <v>89536.06</v>
      </c>
      <c r="L1545" s="183"/>
      <c r="M1545" s="184">
        <f>J1545-D1545</f>
        <v>0</v>
      </c>
      <c r="N1545" s="202"/>
      <c r="O1545" s="283" t="s">
        <v>732</v>
      </c>
      <c r="P1545" s="176"/>
      <c r="Q1545" s="177"/>
      <c r="R1545" s="132"/>
    </row>
    <row r="1546" spans="1:22" ht="17.25" outlineLevel="1" thickBot="1" x14ac:dyDescent="0.3">
      <c r="A1546" s="1006" t="s">
        <v>628</v>
      </c>
      <c r="B1546" s="1007"/>
      <c r="C1546" s="364"/>
      <c r="D1546" s="378">
        <f>SUM(D1544:D1545)</f>
        <v>6887674.1799999997</v>
      </c>
      <c r="E1546" s="239"/>
      <c r="F1546" s="239"/>
      <c r="G1546" s="379">
        <f>SUM(G1544:G1545)</f>
        <v>6887674.1836000001</v>
      </c>
      <c r="H1546" s="239"/>
      <c r="I1546" s="321"/>
      <c r="J1546" s="378">
        <f>SUM(J1544:J1545)</f>
        <v>6885662.2799999993</v>
      </c>
      <c r="K1546" s="378">
        <f>SUM(K1544:K1545)</f>
        <v>6885662.2799999993</v>
      </c>
      <c r="L1546" s="380"/>
      <c r="M1546" s="378"/>
      <c r="N1546" s="421">
        <f>AVERAGE(N1544:N1545)</f>
        <v>0.95</v>
      </c>
      <c r="O1546" s="369"/>
      <c r="P1546" s="176"/>
      <c r="Q1546" s="177"/>
      <c r="R1546" s="132"/>
    </row>
    <row r="1547" spans="1:22" s="5" customFormat="1" ht="33" customHeight="1" x14ac:dyDescent="0.25">
      <c r="A1547" s="1069">
        <v>21</v>
      </c>
      <c r="B1547" s="1080" t="s">
        <v>317</v>
      </c>
      <c r="C1547" s="197" t="s">
        <v>500</v>
      </c>
      <c r="D1547" s="162">
        <v>4193230.29</v>
      </c>
      <c r="E1547" s="197" t="s">
        <v>970</v>
      </c>
      <c r="F1547" s="197" t="s">
        <v>763</v>
      </c>
      <c r="G1547" s="353">
        <v>4250099.99</v>
      </c>
      <c r="H1547" s="161">
        <v>42604</v>
      </c>
      <c r="I1547" s="161">
        <v>42598</v>
      </c>
      <c r="J1547" s="162">
        <v>4193230.29</v>
      </c>
      <c r="K1547" s="162">
        <v>4193230.29</v>
      </c>
      <c r="L1547" s="198"/>
      <c r="M1547" s="199"/>
      <c r="N1547" s="200">
        <v>1</v>
      </c>
      <c r="O1547" s="370"/>
      <c r="P1547" s="176"/>
      <c r="Q1547" s="177"/>
      <c r="R1547" s="168"/>
      <c r="S1547" s="19"/>
      <c r="T1547" s="19"/>
      <c r="U1547" s="19"/>
      <c r="V1547" s="19"/>
    </row>
    <row r="1548" spans="1:22" ht="49.5" outlineLevel="1" x14ac:dyDescent="0.25">
      <c r="A1548" s="1070"/>
      <c r="B1548" s="1064"/>
      <c r="C1548" s="294" t="s">
        <v>37</v>
      </c>
      <c r="D1548" s="180">
        <v>75038.87</v>
      </c>
      <c r="E1548" s="181" t="s">
        <v>555</v>
      </c>
      <c r="F1548" s="181" t="s">
        <v>554</v>
      </c>
      <c r="G1548" s="182">
        <f>63592.26*1.18</f>
        <v>75038.866800000003</v>
      </c>
      <c r="H1548" s="183">
        <v>42429</v>
      </c>
      <c r="I1548" s="183">
        <v>42429</v>
      </c>
      <c r="J1548" s="184">
        <v>75038.87</v>
      </c>
      <c r="K1548" s="184">
        <v>75038.87</v>
      </c>
      <c r="L1548" s="183"/>
      <c r="M1548" s="184">
        <f>J1548-D1548</f>
        <v>0</v>
      </c>
      <c r="N1548" s="202"/>
      <c r="O1548" s="283" t="s">
        <v>730</v>
      </c>
      <c r="P1548" s="176"/>
      <c r="Q1548" s="177"/>
      <c r="R1548" s="132"/>
    </row>
    <row r="1549" spans="1:22" ht="17.25" outlineLevel="1" thickBot="1" x14ac:dyDescent="0.3">
      <c r="A1549" s="1006" t="s">
        <v>628</v>
      </c>
      <c r="B1549" s="1007"/>
      <c r="C1549" s="364"/>
      <c r="D1549" s="378">
        <f>SUM(D1547:D1548)</f>
        <v>4268269.16</v>
      </c>
      <c r="E1549" s="239"/>
      <c r="F1549" s="239"/>
      <c r="G1549" s="379">
        <f>SUM(G1547:G1548)</f>
        <v>4325138.8568000002</v>
      </c>
      <c r="H1549" s="239"/>
      <c r="I1549" s="321"/>
      <c r="J1549" s="378">
        <f>SUM(J1547:J1548)</f>
        <v>4268269.16</v>
      </c>
      <c r="K1549" s="378">
        <f>SUM(K1547:K1548)</f>
        <v>4268269.16</v>
      </c>
      <c r="L1549" s="380"/>
      <c r="M1549" s="378"/>
      <c r="N1549" s="421">
        <f>AVERAGE(N1547:N1548)</f>
        <v>1</v>
      </c>
      <c r="O1549" s="369"/>
      <c r="P1549" s="176"/>
      <c r="Q1549" s="177"/>
      <c r="R1549" s="132"/>
    </row>
    <row r="1550" spans="1:22" s="5" customFormat="1" ht="35.25" customHeight="1" x14ac:dyDescent="0.25">
      <c r="A1550" s="1069">
        <v>22</v>
      </c>
      <c r="B1550" s="1080" t="s">
        <v>332</v>
      </c>
      <c r="C1550" s="197" t="s">
        <v>500</v>
      </c>
      <c r="D1550" s="162">
        <v>3123742.5</v>
      </c>
      <c r="E1550" s="197" t="s">
        <v>1068</v>
      </c>
      <c r="F1550" s="197" t="s">
        <v>866</v>
      </c>
      <c r="G1550" s="353">
        <v>2900000</v>
      </c>
      <c r="H1550" s="161">
        <v>42641</v>
      </c>
      <c r="I1550" s="161">
        <v>42641</v>
      </c>
      <c r="J1550" s="162">
        <v>2890786.5</v>
      </c>
      <c r="K1550" s="162">
        <v>2890786.5</v>
      </c>
      <c r="L1550" s="161">
        <v>42703</v>
      </c>
      <c r="M1550" s="199"/>
      <c r="N1550" s="200">
        <v>1</v>
      </c>
      <c r="O1550" s="370"/>
      <c r="P1550" s="176"/>
      <c r="Q1550" s="201" t="s">
        <v>1116</v>
      </c>
      <c r="R1550" s="168"/>
      <c r="S1550" s="19"/>
      <c r="T1550" s="19"/>
      <c r="U1550" s="19"/>
      <c r="V1550" s="19"/>
    </row>
    <row r="1551" spans="1:22" ht="49.5" outlineLevel="1" x14ac:dyDescent="0.25">
      <c r="A1551" s="1070"/>
      <c r="B1551" s="1064"/>
      <c r="C1551" s="294" t="s">
        <v>37</v>
      </c>
      <c r="D1551" s="180">
        <v>79716.679999999993</v>
      </c>
      <c r="E1551" s="181" t="s">
        <v>555</v>
      </c>
      <c r="F1551" s="181" t="s">
        <v>554</v>
      </c>
      <c r="G1551" s="182">
        <f>67556.51*1.18</f>
        <v>79716.681799999991</v>
      </c>
      <c r="H1551" s="183">
        <v>42429</v>
      </c>
      <c r="I1551" s="183">
        <v>42429</v>
      </c>
      <c r="J1551" s="184">
        <v>79716.679999999993</v>
      </c>
      <c r="K1551" s="184">
        <v>79716.679999999993</v>
      </c>
      <c r="L1551" s="183"/>
      <c r="M1551" s="184">
        <f>J1551-D1551</f>
        <v>0</v>
      </c>
      <c r="N1551" s="202"/>
      <c r="O1551" s="283" t="s">
        <v>730</v>
      </c>
      <c r="P1551" s="176"/>
      <c r="Q1551" s="177"/>
      <c r="R1551" s="132"/>
    </row>
    <row r="1552" spans="1:22" ht="17.25" outlineLevel="1" thickBot="1" x14ac:dyDescent="0.3">
      <c r="A1552" s="1006" t="s">
        <v>628</v>
      </c>
      <c r="B1552" s="1007"/>
      <c r="C1552" s="364"/>
      <c r="D1552" s="378">
        <f>SUM(D1550:D1551)</f>
        <v>3203459.18</v>
      </c>
      <c r="E1552" s="239"/>
      <c r="F1552" s="239"/>
      <c r="G1552" s="379">
        <f>SUM(G1550:G1551)</f>
        <v>2979716.6817999999</v>
      </c>
      <c r="H1552" s="239"/>
      <c r="I1552" s="321"/>
      <c r="J1552" s="378">
        <f>SUM(J1550:J1551)</f>
        <v>2970503.18</v>
      </c>
      <c r="K1552" s="378">
        <f>SUM(K1550:K1551)</f>
        <v>2970503.18</v>
      </c>
      <c r="L1552" s="380"/>
      <c r="M1552" s="378"/>
      <c r="N1552" s="421">
        <f>AVERAGE(N1550:N1551)</f>
        <v>1</v>
      </c>
      <c r="O1552" s="369"/>
      <c r="P1552" s="176"/>
      <c r="Q1552" s="177"/>
      <c r="R1552" s="132"/>
    </row>
    <row r="1553" spans="1:22" s="5" customFormat="1" ht="42.75" customHeight="1" x14ac:dyDescent="0.25">
      <c r="A1553" s="1069">
        <v>23</v>
      </c>
      <c r="B1553" s="1080" t="s">
        <v>333</v>
      </c>
      <c r="C1553" s="197" t="s">
        <v>500</v>
      </c>
      <c r="D1553" s="162">
        <v>3126177.8</v>
      </c>
      <c r="E1553" s="197" t="s">
        <v>970</v>
      </c>
      <c r="F1553" s="197" t="s">
        <v>763</v>
      </c>
      <c r="G1553" s="353">
        <v>3130900.01</v>
      </c>
      <c r="H1553" s="161">
        <v>42604</v>
      </c>
      <c r="I1553" s="161">
        <v>42598</v>
      </c>
      <c r="J1553" s="162">
        <v>3126177.8</v>
      </c>
      <c r="K1553" s="162">
        <v>3126177.8</v>
      </c>
      <c r="L1553" s="198"/>
      <c r="M1553" s="199"/>
      <c r="N1553" s="200">
        <v>1</v>
      </c>
      <c r="O1553" s="370"/>
      <c r="P1553" s="176"/>
      <c r="Q1553" s="177"/>
      <c r="R1553" s="168"/>
      <c r="S1553" s="19"/>
      <c r="T1553" s="19"/>
      <c r="U1553" s="19"/>
      <c r="V1553" s="19"/>
    </row>
    <row r="1554" spans="1:22" ht="49.5" outlineLevel="1" x14ac:dyDescent="0.25">
      <c r="A1554" s="1070"/>
      <c r="B1554" s="1064"/>
      <c r="C1554" s="294" t="s">
        <v>37</v>
      </c>
      <c r="D1554" s="180">
        <v>79367.320000000007</v>
      </c>
      <c r="E1554" s="181" t="s">
        <v>555</v>
      </c>
      <c r="F1554" s="181" t="s">
        <v>554</v>
      </c>
      <c r="G1554" s="182">
        <f>67260.44*1.18</f>
        <v>79367.319199999998</v>
      </c>
      <c r="H1554" s="183">
        <v>42429</v>
      </c>
      <c r="I1554" s="183">
        <v>42429</v>
      </c>
      <c r="J1554" s="184">
        <v>79367.320000000007</v>
      </c>
      <c r="K1554" s="184">
        <v>79367.320000000007</v>
      </c>
      <c r="L1554" s="183"/>
      <c r="M1554" s="184">
        <f>J1554-D1554</f>
        <v>0</v>
      </c>
      <c r="N1554" s="202"/>
      <c r="O1554" s="283" t="s">
        <v>715</v>
      </c>
      <c r="P1554" s="176"/>
      <c r="Q1554" s="177"/>
      <c r="R1554" s="132"/>
    </row>
    <row r="1555" spans="1:22" ht="17.25" outlineLevel="1" thickBot="1" x14ac:dyDescent="0.3">
      <c r="A1555" s="1006" t="s">
        <v>628</v>
      </c>
      <c r="B1555" s="1007"/>
      <c r="C1555" s="364"/>
      <c r="D1555" s="365">
        <f>SUM(D1553:D1554)</f>
        <v>3205545.1199999996</v>
      </c>
      <c r="E1555" s="239"/>
      <c r="F1555" s="239"/>
      <c r="G1555" s="366">
        <f>SUM(G1553:G1554)</f>
        <v>3210267.3291999996</v>
      </c>
      <c r="H1555" s="239"/>
      <c r="I1555" s="321"/>
      <c r="J1555" s="365">
        <f>SUM(J1553:J1554)</f>
        <v>3205545.1199999996</v>
      </c>
      <c r="K1555" s="365">
        <f>SUM(K1553:K1554)</f>
        <v>3205545.1199999996</v>
      </c>
      <c r="L1555" s="367"/>
      <c r="M1555" s="365"/>
      <c r="N1555" s="421">
        <f>AVERAGE(N1553:N1554)</f>
        <v>1</v>
      </c>
      <c r="O1555" s="369"/>
      <c r="P1555" s="176"/>
      <c r="Q1555" s="177"/>
      <c r="R1555" s="132"/>
    </row>
    <row r="1556" spans="1:22" s="5" customFormat="1" ht="30" customHeight="1" x14ac:dyDescent="0.25">
      <c r="A1556" s="1082">
        <v>24</v>
      </c>
      <c r="B1556" s="1088" t="s">
        <v>334</v>
      </c>
      <c r="C1556" s="273" t="s">
        <v>500</v>
      </c>
      <c r="D1556" s="275">
        <v>4674783.2699999996</v>
      </c>
      <c r="E1556" s="273" t="s">
        <v>865</v>
      </c>
      <c r="F1556" s="273" t="s">
        <v>866</v>
      </c>
      <c r="G1556" s="486">
        <v>4250000</v>
      </c>
      <c r="H1556" s="212">
        <v>42566</v>
      </c>
      <c r="I1556" s="212">
        <v>42576</v>
      </c>
      <c r="J1556" s="275">
        <v>4674783.2699999996</v>
      </c>
      <c r="K1556" s="275">
        <v>4674783.2699999996</v>
      </c>
      <c r="L1556" s="648"/>
      <c r="M1556" s="276"/>
      <c r="N1556" s="488">
        <v>1</v>
      </c>
      <c r="O1556" s="546"/>
      <c r="P1556" s="176"/>
      <c r="Q1556" s="201" t="s">
        <v>1116</v>
      </c>
      <c r="R1556" s="168"/>
      <c r="S1556" s="19"/>
      <c r="T1556" s="19"/>
      <c r="U1556" s="19"/>
      <c r="V1556" s="19"/>
    </row>
    <row r="1557" spans="1:22" ht="49.5" outlineLevel="1" x14ac:dyDescent="0.25">
      <c r="A1557" s="1070"/>
      <c r="B1557" s="1064"/>
      <c r="C1557" s="294" t="s">
        <v>37</v>
      </c>
      <c r="D1557" s="180">
        <v>80491.649999999994</v>
      </c>
      <c r="E1557" s="181" t="s">
        <v>555</v>
      </c>
      <c r="F1557" s="181" t="s">
        <v>554</v>
      </c>
      <c r="G1557" s="182">
        <f>68213.26*1.18</f>
        <v>80491.646799999988</v>
      </c>
      <c r="H1557" s="183">
        <v>42429</v>
      </c>
      <c r="I1557" s="183">
        <v>42429</v>
      </c>
      <c r="J1557" s="184">
        <v>80491.649999999994</v>
      </c>
      <c r="K1557" s="184">
        <v>80491.650000000009</v>
      </c>
      <c r="L1557" s="183"/>
      <c r="M1557" s="184">
        <f>J1557-D1557</f>
        <v>0</v>
      </c>
      <c r="N1557" s="202"/>
      <c r="O1557" s="283" t="s">
        <v>720</v>
      </c>
      <c r="P1557" s="176"/>
      <c r="Q1557" s="177"/>
      <c r="R1557" s="132"/>
    </row>
    <row r="1558" spans="1:22" ht="17.25" outlineLevel="1" thickBot="1" x14ac:dyDescent="0.3">
      <c r="A1558" s="1006" t="s">
        <v>628</v>
      </c>
      <c r="B1558" s="1007"/>
      <c r="C1558" s="364"/>
      <c r="D1558" s="378">
        <f>SUM(D1556:D1557)</f>
        <v>4755274.92</v>
      </c>
      <c r="E1558" s="239"/>
      <c r="F1558" s="239"/>
      <c r="G1558" s="379">
        <f>SUM(G1556:G1557)</f>
        <v>4330491.6468000002</v>
      </c>
      <c r="H1558" s="239"/>
      <c r="I1558" s="321"/>
      <c r="J1558" s="378">
        <f>SUM(J1556:J1557)</f>
        <v>4755274.92</v>
      </c>
      <c r="K1558" s="378">
        <f>SUM(K1556:K1557)</f>
        <v>4755274.92</v>
      </c>
      <c r="L1558" s="380"/>
      <c r="M1558" s="378"/>
      <c r="N1558" s="421">
        <f>AVERAGE(N1556:N1557)</f>
        <v>1</v>
      </c>
      <c r="O1558" s="369"/>
      <c r="P1558" s="176"/>
      <c r="Q1558" s="177"/>
      <c r="R1558" s="132"/>
    </row>
    <row r="1559" spans="1:22" s="5" customFormat="1" ht="39" customHeight="1" x14ac:dyDescent="0.25">
      <c r="A1559" s="1069">
        <v>25</v>
      </c>
      <c r="B1559" s="1080" t="s">
        <v>335</v>
      </c>
      <c r="C1559" s="197" t="s">
        <v>500</v>
      </c>
      <c r="D1559" s="162">
        <v>4674783.2699999996</v>
      </c>
      <c r="E1559" s="253" t="s">
        <v>865</v>
      </c>
      <c r="F1559" s="197" t="s">
        <v>866</v>
      </c>
      <c r="G1559" s="353">
        <v>4250000</v>
      </c>
      <c r="H1559" s="161">
        <v>42566</v>
      </c>
      <c r="I1559" s="161">
        <v>42576</v>
      </c>
      <c r="J1559" s="162">
        <v>4674783.2699999996</v>
      </c>
      <c r="K1559" s="162">
        <v>4674783.2699999996</v>
      </c>
      <c r="L1559" s="198"/>
      <c r="M1559" s="199"/>
      <c r="N1559" s="200">
        <v>1</v>
      </c>
      <c r="O1559" s="370"/>
      <c r="P1559" s="176"/>
      <c r="Q1559" s="201" t="s">
        <v>1116</v>
      </c>
      <c r="R1559" s="168"/>
      <c r="S1559" s="19"/>
      <c r="T1559" s="19"/>
      <c r="U1559" s="19"/>
      <c r="V1559" s="19"/>
    </row>
    <row r="1560" spans="1:22" ht="49.5" outlineLevel="1" x14ac:dyDescent="0.25">
      <c r="A1560" s="1070"/>
      <c r="B1560" s="1064"/>
      <c r="C1560" s="294" t="s">
        <v>37</v>
      </c>
      <c r="D1560" s="180">
        <v>80588.55</v>
      </c>
      <c r="E1560" s="181" t="s">
        <v>555</v>
      </c>
      <c r="F1560" s="181" t="s">
        <v>554</v>
      </c>
      <c r="G1560" s="182">
        <f>68295.38*1.18</f>
        <v>80588.5484</v>
      </c>
      <c r="H1560" s="183">
        <v>42429</v>
      </c>
      <c r="I1560" s="183">
        <v>42429</v>
      </c>
      <c r="J1560" s="184">
        <v>80588.55</v>
      </c>
      <c r="K1560" s="184">
        <v>80588.55</v>
      </c>
      <c r="L1560" s="183"/>
      <c r="M1560" s="184">
        <f>J1560-D1560</f>
        <v>0</v>
      </c>
      <c r="N1560" s="202"/>
      <c r="O1560" s="283" t="s">
        <v>730</v>
      </c>
      <c r="P1560" s="176"/>
      <c r="Q1560" s="177"/>
      <c r="R1560" s="132"/>
    </row>
    <row r="1561" spans="1:22" ht="17.25" outlineLevel="1" thickBot="1" x14ac:dyDescent="0.3">
      <c r="A1561" s="1006" t="s">
        <v>628</v>
      </c>
      <c r="B1561" s="1007"/>
      <c r="C1561" s="364"/>
      <c r="D1561" s="378">
        <f>SUM(D1559:D1560)</f>
        <v>4755371.8199999994</v>
      </c>
      <c r="E1561" s="239"/>
      <c r="F1561" s="239"/>
      <c r="G1561" s="379">
        <f>SUM(G1559:G1560)</f>
        <v>4330588.5483999997</v>
      </c>
      <c r="H1561" s="239"/>
      <c r="I1561" s="321"/>
      <c r="J1561" s="378">
        <f>SUM(J1559:J1560)</f>
        <v>4755371.8199999994</v>
      </c>
      <c r="K1561" s="378">
        <f>SUM(K1559:K1560)</f>
        <v>4755371.8199999994</v>
      </c>
      <c r="L1561" s="380"/>
      <c r="M1561" s="378"/>
      <c r="N1561" s="421">
        <f>AVERAGE(N1559:N1560)</f>
        <v>1</v>
      </c>
      <c r="O1561" s="369"/>
      <c r="P1561" s="176"/>
      <c r="Q1561" s="177"/>
      <c r="R1561" s="132"/>
    </row>
    <row r="1562" spans="1:22" s="5" customFormat="1" ht="33" x14ac:dyDescent="0.25">
      <c r="A1562" s="1069">
        <v>26</v>
      </c>
      <c r="B1562" s="1080" t="s">
        <v>324</v>
      </c>
      <c r="C1562" s="197" t="s">
        <v>500</v>
      </c>
      <c r="D1562" s="162">
        <v>11237350.050000001</v>
      </c>
      <c r="E1562" s="253" t="s">
        <v>948</v>
      </c>
      <c r="F1562" s="197" t="s">
        <v>949</v>
      </c>
      <c r="G1562" s="353">
        <v>11286435.68</v>
      </c>
      <c r="H1562" s="161">
        <v>42618</v>
      </c>
      <c r="I1562" s="161">
        <v>42643</v>
      </c>
      <c r="J1562" s="162">
        <v>11237350.050000001</v>
      </c>
      <c r="K1562" s="162">
        <v>11237350.050000001</v>
      </c>
      <c r="L1562" s="198"/>
      <c r="M1562" s="199"/>
      <c r="N1562" s="200">
        <v>1</v>
      </c>
      <c r="O1562" s="370"/>
      <c r="P1562" s="176"/>
      <c r="Q1562" s="201" t="s">
        <v>1116</v>
      </c>
      <c r="R1562" s="168"/>
      <c r="S1562" s="19"/>
      <c r="T1562" s="19"/>
      <c r="U1562" s="19"/>
      <c r="V1562" s="19"/>
    </row>
    <row r="1563" spans="1:22" ht="49.5" outlineLevel="1" x14ac:dyDescent="0.25">
      <c r="A1563" s="1070"/>
      <c r="B1563" s="1064"/>
      <c r="C1563" s="294" t="s">
        <v>37</v>
      </c>
      <c r="D1563" s="180">
        <v>100438.54</v>
      </c>
      <c r="E1563" s="181" t="s">
        <v>555</v>
      </c>
      <c r="F1563" s="181" t="s">
        <v>554</v>
      </c>
      <c r="G1563" s="182">
        <f>85117.41*1.18</f>
        <v>100438.5438</v>
      </c>
      <c r="H1563" s="183">
        <v>42429</v>
      </c>
      <c r="I1563" s="183">
        <v>42429</v>
      </c>
      <c r="J1563" s="184">
        <v>100438.54</v>
      </c>
      <c r="K1563" s="184">
        <v>100438.54</v>
      </c>
      <c r="L1563" s="183"/>
      <c r="M1563" s="184">
        <f>J1563-D1563</f>
        <v>0</v>
      </c>
      <c r="N1563" s="202"/>
      <c r="O1563" s="283" t="s">
        <v>732</v>
      </c>
      <c r="P1563" s="176"/>
      <c r="Q1563" s="177"/>
      <c r="R1563" s="132"/>
    </row>
    <row r="1564" spans="1:22" ht="17.25" outlineLevel="1" thickBot="1" x14ac:dyDescent="0.3">
      <c r="A1564" s="1006" t="s">
        <v>628</v>
      </c>
      <c r="B1564" s="1007"/>
      <c r="C1564" s="364"/>
      <c r="D1564" s="378">
        <f>SUM(D1562:D1563)</f>
        <v>11337788.59</v>
      </c>
      <c r="E1564" s="239"/>
      <c r="F1564" s="239"/>
      <c r="G1564" s="365">
        <f>SUM(G1562:G1563)</f>
        <v>11386874.2238</v>
      </c>
      <c r="H1564" s="239"/>
      <c r="I1564" s="321"/>
      <c r="J1564" s="365">
        <f>SUM(J1562:J1563)</f>
        <v>11337788.59</v>
      </c>
      <c r="K1564" s="365">
        <f>SUM(K1562:K1563)</f>
        <v>11337788.59</v>
      </c>
      <c r="L1564" s="367"/>
      <c r="M1564" s="365"/>
      <c r="N1564" s="421">
        <f>AVERAGE(N1562:N1563)</f>
        <v>1</v>
      </c>
      <c r="O1564" s="369"/>
      <c r="P1564" s="176"/>
      <c r="Q1564" s="177"/>
      <c r="R1564" s="132"/>
    </row>
    <row r="1565" spans="1:22" s="82" customFormat="1" ht="49.5" outlineLevel="1" x14ac:dyDescent="0.25">
      <c r="A1565" s="811">
        <v>27</v>
      </c>
      <c r="B1565" s="812" t="s">
        <v>326</v>
      </c>
      <c r="C1565" s="294" t="s">
        <v>37</v>
      </c>
      <c r="D1565" s="813">
        <v>80016.36</v>
      </c>
      <c r="E1565" s="181" t="s">
        <v>555</v>
      </c>
      <c r="F1565" s="181" t="s">
        <v>554</v>
      </c>
      <c r="G1565" s="814">
        <f>67810.47*1.18</f>
        <v>80016.354599999991</v>
      </c>
      <c r="H1565" s="183">
        <v>42429</v>
      </c>
      <c r="I1565" s="183">
        <v>42429</v>
      </c>
      <c r="J1565" s="589">
        <v>80016.36</v>
      </c>
      <c r="K1565" s="589">
        <v>80016.36</v>
      </c>
      <c r="L1565" s="591"/>
      <c r="M1565" s="815"/>
      <c r="N1565" s="202"/>
      <c r="O1565" s="283" t="s">
        <v>732</v>
      </c>
      <c r="P1565" s="816"/>
      <c r="Q1565" s="817"/>
      <c r="R1565" s="818"/>
      <c r="S1565" s="81"/>
      <c r="T1565" s="81"/>
      <c r="U1565" s="81"/>
      <c r="V1565" s="81"/>
    </row>
    <row r="1566" spans="1:22" ht="15" customHeight="1" outlineLevel="1" thickBot="1" x14ac:dyDescent="0.3">
      <c r="A1566" s="1067" t="s">
        <v>628</v>
      </c>
      <c r="B1566" s="1148"/>
      <c r="C1566" s="364"/>
      <c r="D1566" s="365">
        <f>SUM(D1565:D1565)</f>
        <v>80016.36</v>
      </c>
      <c r="E1566" s="239"/>
      <c r="F1566" s="239"/>
      <c r="G1566" s="366">
        <f>SUM(G1565:G1565)</f>
        <v>80016.354599999991</v>
      </c>
      <c r="H1566" s="239"/>
      <c r="I1566" s="321"/>
      <c r="J1566" s="365">
        <f>SUM(J1565:J1565)</f>
        <v>80016.36</v>
      </c>
      <c r="K1566" s="365">
        <f>SUM(K1565:K1565)</f>
        <v>80016.36</v>
      </c>
      <c r="L1566" s="367"/>
      <c r="M1566" s="365"/>
      <c r="N1566" s="394"/>
      <c r="O1566" s="369"/>
      <c r="P1566" s="176"/>
      <c r="Q1566" s="177"/>
      <c r="R1566" s="132"/>
    </row>
    <row r="1567" spans="1:22" s="5" customFormat="1" ht="30.75" customHeight="1" x14ac:dyDescent="0.25">
      <c r="A1567" s="1082">
        <v>28</v>
      </c>
      <c r="B1567" s="1088" t="s">
        <v>325</v>
      </c>
      <c r="C1567" s="273" t="s">
        <v>500</v>
      </c>
      <c r="D1567" s="275">
        <v>2496312</v>
      </c>
      <c r="E1567" s="273" t="s">
        <v>964</v>
      </c>
      <c r="F1567" s="273" t="s">
        <v>965</v>
      </c>
      <c r="G1567" s="486">
        <v>2645206</v>
      </c>
      <c r="H1567" s="212">
        <v>42613</v>
      </c>
      <c r="I1567" s="212">
        <v>42655</v>
      </c>
      <c r="J1567" s="275">
        <v>2496312</v>
      </c>
      <c r="K1567" s="275">
        <v>2496312</v>
      </c>
      <c r="L1567" s="648"/>
      <c r="M1567" s="276"/>
      <c r="N1567" s="488">
        <v>1</v>
      </c>
      <c r="O1567" s="546"/>
      <c r="P1567" s="176"/>
      <c r="Q1567" s="201" t="s">
        <v>1121</v>
      </c>
      <c r="R1567" s="168"/>
      <c r="S1567" s="19"/>
      <c r="T1567" s="19"/>
      <c r="U1567" s="19"/>
      <c r="V1567" s="19"/>
    </row>
    <row r="1568" spans="1:22" ht="49.5" outlineLevel="1" x14ac:dyDescent="0.25">
      <c r="A1568" s="1070"/>
      <c r="B1568" s="1064"/>
      <c r="C1568" s="294" t="s">
        <v>37</v>
      </c>
      <c r="D1568" s="180">
        <v>71242.39</v>
      </c>
      <c r="E1568" s="181" t="s">
        <v>555</v>
      </c>
      <c r="F1568" s="181" t="s">
        <v>554</v>
      </c>
      <c r="G1568" s="182">
        <f>60374.91*1.18</f>
        <v>71242.393800000005</v>
      </c>
      <c r="H1568" s="183">
        <v>42429</v>
      </c>
      <c r="I1568" s="183">
        <v>42429</v>
      </c>
      <c r="J1568" s="184">
        <v>71242.39</v>
      </c>
      <c r="K1568" s="184">
        <v>71242.390000000014</v>
      </c>
      <c r="L1568" s="183"/>
      <c r="M1568" s="184">
        <f>J1568-D1568</f>
        <v>0</v>
      </c>
      <c r="N1568" s="202"/>
      <c r="O1568" s="283" t="s">
        <v>732</v>
      </c>
      <c r="P1568" s="176"/>
      <c r="Q1568" s="177"/>
      <c r="R1568" s="132"/>
    </row>
    <row r="1569" spans="1:22" ht="17.25" outlineLevel="1" thickBot="1" x14ac:dyDescent="0.3">
      <c r="A1569" s="1010" t="s">
        <v>628</v>
      </c>
      <c r="B1569" s="1011"/>
      <c r="C1569" s="377"/>
      <c r="D1569" s="378">
        <f>SUM(D1567:D1568)</f>
        <v>2567554.39</v>
      </c>
      <c r="E1569" s="247"/>
      <c r="F1569" s="247"/>
      <c r="G1569" s="379">
        <f>SUM(G1567:G1568)</f>
        <v>2716448.3938000002</v>
      </c>
      <c r="H1569" s="247"/>
      <c r="I1569" s="277"/>
      <c r="J1569" s="378">
        <f>SUM(J1567:J1568)</f>
        <v>2567554.39</v>
      </c>
      <c r="K1569" s="378">
        <f>SUM(K1567:K1568)</f>
        <v>2567554.39</v>
      </c>
      <c r="L1569" s="380"/>
      <c r="M1569" s="378"/>
      <c r="N1569" s="421">
        <f>AVERAGE(N1567:N1568)</f>
        <v>1</v>
      </c>
      <c r="O1569" s="381"/>
      <c r="P1569" s="176"/>
      <c r="Q1569" s="177"/>
      <c r="R1569" s="132"/>
    </row>
    <row r="1570" spans="1:22" s="5" customFormat="1" ht="33" x14ac:dyDescent="0.25">
      <c r="A1570" s="1069">
        <v>29</v>
      </c>
      <c r="B1570" s="1080" t="s">
        <v>316</v>
      </c>
      <c r="C1570" s="197" t="s">
        <v>500</v>
      </c>
      <c r="D1570" s="162">
        <v>11136414.84</v>
      </c>
      <c r="E1570" s="197" t="s">
        <v>948</v>
      </c>
      <c r="F1570" s="197" t="s">
        <v>949</v>
      </c>
      <c r="G1570" s="353">
        <v>11279505.539999999</v>
      </c>
      <c r="H1570" s="161">
        <v>42618</v>
      </c>
      <c r="I1570" s="161">
        <v>42627</v>
      </c>
      <c r="J1570" s="162">
        <v>11136414.84</v>
      </c>
      <c r="K1570" s="162">
        <v>11136414.84</v>
      </c>
      <c r="L1570" s="198"/>
      <c r="M1570" s="199"/>
      <c r="N1570" s="200">
        <v>1</v>
      </c>
      <c r="O1570" s="370"/>
      <c r="P1570" s="176"/>
      <c r="Q1570" s="177"/>
      <c r="R1570" s="168"/>
      <c r="S1570" s="19"/>
      <c r="T1570" s="19"/>
      <c r="U1570" s="19"/>
      <c r="V1570" s="19"/>
    </row>
    <row r="1571" spans="1:22" ht="49.5" outlineLevel="1" x14ac:dyDescent="0.25">
      <c r="A1571" s="1070"/>
      <c r="B1571" s="1064"/>
      <c r="C1571" s="294" t="s">
        <v>37</v>
      </c>
      <c r="D1571" s="180">
        <v>110981.31</v>
      </c>
      <c r="E1571" s="181" t="s">
        <v>555</v>
      </c>
      <c r="F1571" s="181" t="s">
        <v>554</v>
      </c>
      <c r="G1571" s="182">
        <f>94051.96*1.18</f>
        <v>110981.3128</v>
      </c>
      <c r="H1571" s="183">
        <v>42429</v>
      </c>
      <c r="I1571" s="183">
        <v>42429</v>
      </c>
      <c r="J1571" s="184">
        <v>110981.31</v>
      </c>
      <c r="K1571" s="184">
        <v>110981.31000000001</v>
      </c>
      <c r="L1571" s="183"/>
      <c r="M1571" s="184">
        <f>J1571-D1571</f>
        <v>0</v>
      </c>
      <c r="N1571" s="202"/>
      <c r="O1571" s="283" t="s">
        <v>732</v>
      </c>
      <c r="P1571" s="176"/>
      <c r="Q1571" s="177"/>
      <c r="R1571" s="132"/>
    </row>
    <row r="1572" spans="1:22" ht="17.25" outlineLevel="1" thickBot="1" x14ac:dyDescent="0.3">
      <c r="A1572" s="1006" t="s">
        <v>628</v>
      </c>
      <c r="B1572" s="1007"/>
      <c r="C1572" s="364"/>
      <c r="D1572" s="378">
        <f>SUM(D1570:D1571)</f>
        <v>11247396.15</v>
      </c>
      <c r="E1572" s="239"/>
      <c r="F1572" s="239"/>
      <c r="G1572" s="379">
        <f>SUM(G1570:G1571)</f>
        <v>11390486.852799999</v>
      </c>
      <c r="H1572" s="239"/>
      <c r="I1572" s="321"/>
      <c r="J1572" s="378">
        <f>SUM(J1570:J1571)</f>
        <v>11247396.15</v>
      </c>
      <c r="K1572" s="378">
        <f>SUM(K1570:K1571)</f>
        <v>11247396.15</v>
      </c>
      <c r="L1572" s="380"/>
      <c r="M1572" s="378"/>
      <c r="N1572" s="421">
        <f>AVERAGE(N1570:N1571)</f>
        <v>1</v>
      </c>
      <c r="O1572" s="369"/>
      <c r="P1572" s="176"/>
      <c r="Q1572" s="177"/>
      <c r="R1572" s="132"/>
    </row>
    <row r="1573" spans="1:22" s="5" customFormat="1" ht="45.75" customHeight="1" x14ac:dyDescent="0.25">
      <c r="A1573" s="1069">
        <v>30</v>
      </c>
      <c r="B1573" s="1080" t="s">
        <v>323</v>
      </c>
      <c r="C1573" s="197" t="s">
        <v>500</v>
      </c>
      <c r="D1573" s="162">
        <v>6693394</v>
      </c>
      <c r="E1573" s="197" t="s">
        <v>964</v>
      </c>
      <c r="F1573" s="197" t="s">
        <v>965</v>
      </c>
      <c r="G1573" s="353">
        <v>6790164</v>
      </c>
      <c r="H1573" s="161">
        <v>42613</v>
      </c>
      <c r="I1573" s="161">
        <v>42655</v>
      </c>
      <c r="J1573" s="162">
        <v>6693394</v>
      </c>
      <c r="K1573" s="162">
        <v>6693394</v>
      </c>
      <c r="L1573" s="198"/>
      <c r="M1573" s="199"/>
      <c r="N1573" s="200">
        <v>1</v>
      </c>
      <c r="O1573" s="370"/>
      <c r="P1573" s="176"/>
      <c r="Q1573" s="201" t="s">
        <v>1121</v>
      </c>
      <c r="R1573" s="168"/>
      <c r="S1573" s="19"/>
      <c r="T1573" s="19"/>
      <c r="U1573" s="19"/>
      <c r="V1573" s="19"/>
    </row>
    <row r="1574" spans="1:22" ht="49.5" outlineLevel="1" x14ac:dyDescent="0.25">
      <c r="A1574" s="1070"/>
      <c r="B1574" s="1064"/>
      <c r="C1574" s="294" t="s">
        <v>37</v>
      </c>
      <c r="D1574" s="180">
        <v>100014.29</v>
      </c>
      <c r="E1574" s="181" t="s">
        <v>555</v>
      </c>
      <c r="F1574" s="181" t="s">
        <v>554</v>
      </c>
      <c r="G1574" s="182">
        <f>84757.87*1.18</f>
        <v>100014.28659999999</v>
      </c>
      <c r="H1574" s="183">
        <v>42429</v>
      </c>
      <c r="I1574" s="183">
        <v>42429</v>
      </c>
      <c r="J1574" s="184">
        <v>100014.29</v>
      </c>
      <c r="K1574" s="184">
        <v>100014.29000000001</v>
      </c>
      <c r="L1574" s="183"/>
      <c r="M1574" s="184">
        <f>J1574-D1574</f>
        <v>0</v>
      </c>
      <c r="N1574" s="202"/>
      <c r="O1574" s="283" t="s">
        <v>732</v>
      </c>
      <c r="P1574" s="176"/>
      <c r="Q1574" s="177"/>
      <c r="R1574" s="132"/>
    </row>
    <row r="1575" spans="1:22" ht="17.25" outlineLevel="1" thickBot="1" x14ac:dyDescent="0.3">
      <c r="A1575" s="1006" t="s">
        <v>628</v>
      </c>
      <c r="B1575" s="1007"/>
      <c r="C1575" s="364"/>
      <c r="D1575" s="365">
        <f>SUM(D1573:D1574)</f>
        <v>6793408.29</v>
      </c>
      <c r="E1575" s="239"/>
      <c r="F1575" s="239"/>
      <c r="G1575" s="366">
        <f>SUM(G1573:G1574)</f>
        <v>6890178.2866000002</v>
      </c>
      <c r="H1575" s="239"/>
      <c r="I1575" s="321"/>
      <c r="J1575" s="365">
        <f>SUM(J1573:J1574)</f>
        <v>6793408.29</v>
      </c>
      <c r="K1575" s="365">
        <f>SUM(K1573:K1574)</f>
        <v>6793408.29</v>
      </c>
      <c r="L1575" s="367"/>
      <c r="M1575" s="365"/>
      <c r="N1575" s="421">
        <f>AVERAGE(N1573:N1574)</f>
        <v>1</v>
      </c>
      <c r="O1575" s="369"/>
      <c r="P1575" s="176"/>
      <c r="Q1575" s="177"/>
      <c r="R1575" s="132"/>
    </row>
    <row r="1576" spans="1:22" ht="28.5" customHeight="1" outlineLevel="1" x14ac:dyDescent="0.25">
      <c r="A1576" s="1136">
        <v>31</v>
      </c>
      <c r="B1576" s="1137" t="s">
        <v>756</v>
      </c>
      <c r="C1576" s="197" t="s">
        <v>38</v>
      </c>
      <c r="D1576" s="162">
        <v>758114</v>
      </c>
      <c r="E1576" s="984" t="s">
        <v>829</v>
      </c>
      <c r="F1576" s="984" t="s">
        <v>830</v>
      </c>
      <c r="G1576" s="819">
        <v>804040.9</v>
      </c>
      <c r="H1576" s="975">
        <v>42305</v>
      </c>
      <c r="I1576" s="161">
        <v>42451</v>
      </c>
      <c r="J1576" s="162">
        <v>758114</v>
      </c>
      <c r="K1576" s="162">
        <v>758114</v>
      </c>
      <c r="L1576" s="161">
        <v>42730</v>
      </c>
      <c r="M1576" s="199"/>
      <c r="N1576" s="200">
        <v>1</v>
      </c>
      <c r="O1576" s="382"/>
      <c r="P1576" s="176"/>
      <c r="Q1576" s="177" t="s">
        <v>1115</v>
      </c>
      <c r="R1576" s="132"/>
    </row>
    <row r="1577" spans="1:22" ht="15" customHeight="1" outlineLevel="1" x14ac:dyDescent="0.25">
      <c r="A1577" s="1143"/>
      <c r="B1577" s="1149"/>
      <c r="C1577" s="253" t="s">
        <v>35</v>
      </c>
      <c r="D1577" s="163">
        <v>489333.22</v>
      </c>
      <c r="E1577" s="985"/>
      <c r="F1577" s="985"/>
      <c r="G1577" s="209">
        <v>489333.21</v>
      </c>
      <c r="H1577" s="985"/>
      <c r="I1577" s="210">
        <v>42705</v>
      </c>
      <c r="J1577" s="163">
        <v>264987.15000000002</v>
      </c>
      <c r="K1577" s="163">
        <v>264987.15000000002</v>
      </c>
      <c r="L1577" s="210">
        <v>42730</v>
      </c>
      <c r="M1577" s="255"/>
      <c r="N1577" s="213">
        <v>1</v>
      </c>
      <c r="O1577" s="531"/>
      <c r="P1577" s="176"/>
      <c r="Q1577" s="1029" t="s">
        <v>1114</v>
      </c>
      <c r="R1577" s="132"/>
    </row>
    <row r="1578" spans="1:22" ht="16.5" outlineLevel="1" x14ac:dyDescent="0.25">
      <c r="A1578" s="1143"/>
      <c r="B1578" s="1149"/>
      <c r="C1578" s="253" t="s">
        <v>36</v>
      </c>
      <c r="D1578" s="163">
        <v>742117.8</v>
      </c>
      <c r="E1578" s="985"/>
      <c r="F1578" s="985"/>
      <c r="G1578" s="209">
        <v>742118.1</v>
      </c>
      <c r="H1578" s="985"/>
      <c r="I1578" s="210">
        <v>42705</v>
      </c>
      <c r="J1578" s="163">
        <v>134441.87</v>
      </c>
      <c r="K1578" s="163">
        <v>134441.87</v>
      </c>
      <c r="L1578" s="210">
        <v>42730</v>
      </c>
      <c r="M1578" s="255"/>
      <c r="N1578" s="213">
        <v>1</v>
      </c>
      <c r="O1578" s="531"/>
      <c r="P1578" s="176"/>
      <c r="Q1578" s="1031"/>
      <c r="R1578" s="132"/>
    </row>
    <row r="1579" spans="1:22" ht="16.5" outlineLevel="1" x14ac:dyDescent="0.25">
      <c r="A1579" s="1143"/>
      <c r="B1579" s="1149"/>
      <c r="C1579" s="478" t="s">
        <v>501</v>
      </c>
      <c r="D1579" s="163">
        <v>6525795.4699999997</v>
      </c>
      <c r="E1579" s="986"/>
      <c r="F1579" s="986"/>
      <c r="G1579" s="209">
        <v>6984572.6399999997</v>
      </c>
      <c r="H1579" s="986"/>
      <c r="I1579" s="212">
        <v>42451</v>
      </c>
      <c r="J1579" s="275">
        <v>6525795.4699999988</v>
      </c>
      <c r="K1579" s="163">
        <v>6525795.4699999988</v>
      </c>
      <c r="L1579" s="210">
        <v>42730</v>
      </c>
      <c r="M1579" s="163">
        <f>J1579-D1579</f>
        <v>0</v>
      </c>
      <c r="N1579" s="213">
        <v>1</v>
      </c>
      <c r="O1579" s="531"/>
      <c r="P1579" s="176"/>
      <c r="Q1579" s="177"/>
      <c r="R1579" s="132"/>
    </row>
    <row r="1580" spans="1:22" ht="15.75" customHeight="1" outlineLevel="1" thickBot="1" x14ac:dyDescent="0.3">
      <c r="A1580" s="1067" t="s">
        <v>628</v>
      </c>
      <c r="B1580" s="1068"/>
      <c r="C1580" s="671"/>
      <c r="D1580" s="365">
        <f>SUM(D1576:D1579)</f>
        <v>8515360.4900000002</v>
      </c>
      <c r="E1580" s="239"/>
      <c r="F1580" s="239"/>
      <c r="G1580" s="366">
        <f>SUM(G1576:G1579)</f>
        <v>9020064.8499999996</v>
      </c>
      <c r="H1580" s="239"/>
      <c r="I1580" s="321"/>
      <c r="J1580" s="365">
        <f>SUM(J1576:J1579)</f>
        <v>7683338.4899999984</v>
      </c>
      <c r="K1580" s="365">
        <f>SUM(K1576:K1579)</f>
        <v>7683338.4899999984</v>
      </c>
      <c r="L1580" s="367"/>
      <c r="M1580" s="365"/>
      <c r="N1580" s="368">
        <f>AVERAGE(N1576:N1579)</f>
        <v>1</v>
      </c>
      <c r="O1580" s="369"/>
      <c r="P1580" s="176"/>
      <c r="Q1580" s="177"/>
      <c r="R1580" s="132"/>
    </row>
    <row r="1581" spans="1:22" ht="36" customHeight="1" outlineLevel="1" x14ac:dyDescent="0.25">
      <c r="A1581" s="820">
        <v>32</v>
      </c>
      <c r="B1581" s="821" t="s">
        <v>1098</v>
      </c>
      <c r="C1581" s="822" t="s">
        <v>501</v>
      </c>
      <c r="D1581" s="162">
        <v>415908.04</v>
      </c>
      <c r="E1581" s="197" t="s">
        <v>1109</v>
      </c>
      <c r="F1581" s="197" t="s">
        <v>862</v>
      </c>
      <c r="G1581" s="353">
        <v>451999</v>
      </c>
      <c r="H1581" s="161">
        <v>42658</v>
      </c>
      <c r="I1581" s="161">
        <v>42658</v>
      </c>
      <c r="J1581" s="162">
        <v>415908.04</v>
      </c>
      <c r="K1581" s="162">
        <v>415908.04</v>
      </c>
      <c r="L1581" s="198"/>
      <c r="M1581" s="199"/>
      <c r="N1581" s="823"/>
      <c r="O1581" s="630"/>
      <c r="P1581" s="176"/>
      <c r="Q1581" s="177"/>
      <c r="R1581" s="132"/>
    </row>
    <row r="1582" spans="1:22" ht="15.75" customHeight="1" outlineLevel="1" thickBot="1" x14ac:dyDescent="0.3">
      <c r="A1582" s="1067" t="s">
        <v>628</v>
      </c>
      <c r="B1582" s="1068"/>
      <c r="C1582" s="824"/>
      <c r="D1582" s="365">
        <f>D1581</f>
        <v>415908.04</v>
      </c>
      <c r="E1582" s="239"/>
      <c r="F1582" s="239"/>
      <c r="G1582" s="365">
        <f>G1581</f>
        <v>451999</v>
      </c>
      <c r="H1582" s="239"/>
      <c r="I1582" s="321"/>
      <c r="J1582" s="365">
        <f>J1581</f>
        <v>415908.04</v>
      </c>
      <c r="K1582" s="365">
        <f>K1581</f>
        <v>415908.04</v>
      </c>
      <c r="L1582" s="367"/>
      <c r="M1582" s="365"/>
      <c r="N1582" s="368"/>
      <c r="O1582" s="369"/>
      <c r="P1582" s="176"/>
      <c r="Q1582" s="177"/>
      <c r="R1582" s="132"/>
    </row>
    <row r="1583" spans="1:22" s="8" customFormat="1" ht="19.5" customHeight="1" outlineLevel="1" x14ac:dyDescent="0.25">
      <c r="A1583" s="1146" t="s">
        <v>1097</v>
      </c>
      <c r="B1583" s="1147"/>
      <c r="C1583" s="1041"/>
      <c r="D1583" s="324">
        <v>2763585.31</v>
      </c>
      <c r="E1583" s="325"/>
      <c r="F1583" s="326"/>
      <c r="G1583" s="327">
        <f>SUM(G1584:G1604)</f>
        <v>2765585.3161999998</v>
      </c>
      <c r="H1583" s="328"/>
      <c r="I1583" s="329"/>
      <c r="J1583" s="324"/>
      <c r="K1583" s="324"/>
      <c r="L1583" s="330"/>
      <c r="M1583" s="324"/>
      <c r="N1583" s="331"/>
      <c r="O1583" s="332"/>
      <c r="P1583" s="176"/>
      <c r="Q1583" s="446"/>
      <c r="R1583" s="335"/>
      <c r="S1583" s="2"/>
      <c r="T1583" s="2"/>
      <c r="U1583" s="2"/>
      <c r="V1583" s="2"/>
    </row>
    <row r="1584" spans="1:22" s="8" customFormat="1" ht="32.25" customHeight="1" outlineLevel="1" x14ac:dyDescent="0.25">
      <c r="A1584" s="1152"/>
      <c r="B1584" s="336" t="s">
        <v>1234</v>
      </c>
      <c r="C1584" s="549" t="s">
        <v>37</v>
      </c>
      <c r="D1584" s="339"/>
      <c r="E1584" s="996" t="s">
        <v>1253</v>
      </c>
      <c r="F1584" s="1094" t="s">
        <v>537</v>
      </c>
      <c r="G1584" s="339">
        <v>92933.79</v>
      </c>
      <c r="H1584" s="1155">
        <v>42699</v>
      </c>
      <c r="I1584" s="172"/>
      <c r="J1584" s="338"/>
      <c r="K1584" s="338"/>
      <c r="L1584" s="340"/>
      <c r="M1584" s="338"/>
      <c r="N1584" s="341"/>
      <c r="O1584" s="342"/>
      <c r="P1584" s="528"/>
      <c r="Q1584" s="446"/>
      <c r="R1584" s="335"/>
      <c r="S1584" s="2"/>
      <c r="T1584" s="2"/>
      <c r="U1584" s="2"/>
      <c r="V1584" s="2"/>
    </row>
    <row r="1585" spans="1:22" s="8" customFormat="1" ht="30.75" customHeight="1" outlineLevel="1" x14ac:dyDescent="0.25">
      <c r="A1585" s="1149"/>
      <c r="B1585" s="336" t="s">
        <v>1235</v>
      </c>
      <c r="C1585" s="549" t="s">
        <v>37</v>
      </c>
      <c r="D1585" s="339"/>
      <c r="E1585" s="997"/>
      <c r="F1585" s="998"/>
      <c r="G1585" s="339">
        <v>98329.3174</v>
      </c>
      <c r="H1585" s="980"/>
      <c r="I1585" s="172"/>
      <c r="J1585" s="338"/>
      <c r="K1585" s="338"/>
      <c r="L1585" s="340"/>
      <c r="M1585" s="338"/>
      <c r="N1585" s="341"/>
      <c r="O1585" s="342"/>
      <c r="P1585" s="528"/>
      <c r="Q1585" s="446"/>
      <c r="R1585" s="335"/>
      <c r="S1585" s="2"/>
      <c r="T1585" s="2"/>
      <c r="U1585" s="2"/>
      <c r="V1585" s="2"/>
    </row>
    <row r="1586" spans="1:22" s="8" customFormat="1" ht="27" customHeight="1" outlineLevel="1" x14ac:dyDescent="0.25">
      <c r="A1586" s="1149"/>
      <c r="B1586" s="336" t="s">
        <v>1236</v>
      </c>
      <c r="C1586" s="549" t="s">
        <v>37</v>
      </c>
      <c r="D1586" s="339"/>
      <c r="E1586" s="997"/>
      <c r="F1586" s="998"/>
      <c r="G1586" s="339">
        <v>98258.718000000008</v>
      </c>
      <c r="H1586" s="980"/>
      <c r="I1586" s="172"/>
      <c r="J1586" s="338"/>
      <c r="K1586" s="338"/>
      <c r="L1586" s="340"/>
      <c r="M1586" s="338"/>
      <c r="N1586" s="341"/>
      <c r="O1586" s="342"/>
      <c r="P1586" s="528"/>
      <c r="Q1586" s="446"/>
      <c r="R1586" s="335"/>
      <c r="S1586" s="2"/>
      <c r="T1586" s="2"/>
      <c r="U1586" s="2"/>
      <c r="V1586" s="2"/>
    </row>
    <row r="1587" spans="1:22" s="8" customFormat="1" ht="19.5" customHeight="1" outlineLevel="1" x14ac:dyDescent="0.25">
      <c r="A1587" s="1149"/>
      <c r="B1587" s="336" t="s">
        <v>1237</v>
      </c>
      <c r="C1587" s="549" t="s">
        <v>37</v>
      </c>
      <c r="D1587" s="339"/>
      <c r="E1587" s="997"/>
      <c r="F1587" s="998"/>
      <c r="G1587" s="339">
        <v>473634.03</v>
      </c>
      <c r="H1587" s="980"/>
      <c r="I1587" s="172"/>
      <c r="J1587" s="338"/>
      <c r="K1587" s="338"/>
      <c r="L1587" s="340"/>
      <c r="M1587" s="338"/>
      <c r="N1587" s="341"/>
      <c r="O1587" s="342"/>
      <c r="P1587" s="528"/>
      <c r="Q1587" s="446"/>
      <c r="R1587" s="335"/>
      <c r="S1587" s="2"/>
      <c r="T1587" s="2"/>
      <c r="U1587" s="2"/>
      <c r="V1587" s="2"/>
    </row>
    <row r="1588" spans="1:22" s="8" customFormat="1" ht="19.5" customHeight="1" outlineLevel="1" x14ac:dyDescent="0.25">
      <c r="A1588" s="1149"/>
      <c r="B1588" s="336" t="s">
        <v>1238</v>
      </c>
      <c r="C1588" s="549" t="s">
        <v>37</v>
      </c>
      <c r="D1588" s="339"/>
      <c r="E1588" s="997"/>
      <c r="F1588" s="998"/>
      <c r="G1588" s="339">
        <v>110992.3576</v>
      </c>
      <c r="H1588" s="980"/>
      <c r="I1588" s="172"/>
      <c r="J1588" s="338"/>
      <c r="K1588" s="338"/>
      <c r="L1588" s="340"/>
      <c r="M1588" s="338"/>
      <c r="N1588" s="341"/>
      <c r="O1588" s="342"/>
      <c r="P1588" s="528"/>
      <c r="Q1588" s="446"/>
      <c r="R1588" s="335"/>
      <c r="S1588" s="2"/>
      <c r="T1588" s="2"/>
      <c r="U1588" s="2"/>
      <c r="V1588" s="2"/>
    </row>
    <row r="1589" spans="1:22" s="8" customFormat="1" ht="27" customHeight="1" outlineLevel="1" x14ac:dyDescent="0.25">
      <c r="A1589" s="1149"/>
      <c r="B1589" s="336" t="s">
        <v>1239</v>
      </c>
      <c r="C1589" s="549" t="s">
        <v>37</v>
      </c>
      <c r="D1589" s="339"/>
      <c r="E1589" s="997"/>
      <c r="F1589" s="998"/>
      <c r="G1589" s="339">
        <v>104797.38119999999</v>
      </c>
      <c r="H1589" s="980"/>
      <c r="I1589" s="172"/>
      <c r="J1589" s="338"/>
      <c r="K1589" s="338"/>
      <c r="L1589" s="340"/>
      <c r="M1589" s="338"/>
      <c r="N1589" s="341"/>
      <c r="O1589" s="342"/>
      <c r="P1589" s="528"/>
      <c r="Q1589" s="446"/>
      <c r="R1589" s="335"/>
      <c r="S1589" s="2"/>
      <c r="T1589" s="2"/>
      <c r="U1589" s="2"/>
      <c r="V1589" s="2"/>
    </row>
    <row r="1590" spans="1:22" s="8" customFormat="1" ht="25.5" customHeight="1" outlineLevel="1" x14ac:dyDescent="0.25">
      <c r="A1590" s="1149"/>
      <c r="B1590" s="336" t="s">
        <v>1240</v>
      </c>
      <c r="C1590" s="549" t="s">
        <v>37</v>
      </c>
      <c r="D1590" s="339"/>
      <c r="E1590" s="997"/>
      <c r="F1590" s="998"/>
      <c r="G1590" s="339">
        <v>150486.57</v>
      </c>
      <c r="H1590" s="980"/>
      <c r="I1590" s="172"/>
      <c r="J1590" s="338"/>
      <c r="K1590" s="338"/>
      <c r="L1590" s="340"/>
      <c r="M1590" s="338"/>
      <c r="N1590" s="341"/>
      <c r="O1590" s="342"/>
      <c r="P1590" s="528"/>
      <c r="Q1590" s="446"/>
      <c r="R1590" s="335"/>
      <c r="S1590" s="2"/>
      <c r="T1590" s="2"/>
      <c r="U1590" s="2"/>
      <c r="V1590" s="2"/>
    </row>
    <row r="1591" spans="1:22" s="8" customFormat="1" ht="24.75" customHeight="1" outlineLevel="1" x14ac:dyDescent="0.25">
      <c r="A1591" s="1149"/>
      <c r="B1591" s="336" t="s">
        <v>1241</v>
      </c>
      <c r="C1591" s="549" t="s">
        <v>37</v>
      </c>
      <c r="D1591" s="339"/>
      <c r="E1591" s="997"/>
      <c r="F1591" s="998"/>
      <c r="G1591" s="339">
        <v>139934.29</v>
      </c>
      <c r="H1591" s="980"/>
      <c r="I1591" s="172"/>
      <c r="J1591" s="338"/>
      <c r="K1591" s="338"/>
      <c r="L1591" s="340"/>
      <c r="M1591" s="338"/>
      <c r="N1591" s="341"/>
      <c r="O1591" s="342"/>
      <c r="P1591" s="528"/>
      <c r="Q1591" s="446"/>
      <c r="R1591" s="335"/>
      <c r="S1591" s="2"/>
      <c r="T1591" s="2"/>
      <c r="U1591" s="2"/>
      <c r="V1591" s="2"/>
    </row>
    <row r="1592" spans="1:22" s="8" customFormat="1" ht="27" customHeight="1" outlineLevel="1" x14ac:dyDescent="0.25">
      <c r="A1592" s="1149"/>
      <c r="B1592" s="336" t="s">
        <v>1242</v>
      </c>
      <c r="C1592" s="549" t="s">
        <v>37</v>
      </c>
      <c r="D1592" s="339"/>
      <c r="E1592" s="997"/>
      <c r="F1592" s="998"/>
      <c r="G1592" s="339">
        <v>85675.115399999995</v>
      </c>
      <c r="H1592" s="980"/>
      <c r="I1592" s="172"/>
      <c r="J1592" s="338"/>
      <c r="K1592" s="338"/>
      <c r="L1592" s="340"/>
      <c r="M1592" s="338"/>
      <c r="N1592" s="341"/>
      <c r="O1592" s="342"/>
      <c r="P1592" s="528"/>
      <c r="Q1592" s="446"/>
      <c r="R1592" s="335"/>
      <c r="S1592" s="2"/>
      <c r="T1592" s="2"/>
      <c r="U1592" s="2"/>
      <c r="V1592" s="2"/>
    </row>
    <row r="1593" spans="1:22" s="8" customFormat="1" ht="29.25" customHeight="1" outlineLevel="1" x14ac:dyDescent="0.25">
      <c r="A1593" s="1149"/>
      <c r="B1593" s="336" t="s">
        <v>328</v>
      </c>
      <c r="C1593" s="549" t="s">
        <v>37</v>
      </c>
      <c r="D1593" s="339"/>
      <c r="E1593" s="997"/>
      <c r="F1593" s="998"/>
      <c r="G1593" s="339">
        <v>92484.529599999994</v>
      </c>
      <c r="H1593" s="980"/>
      <c r="I1593" s="172"/>
      <c r="J1593" s="338"/>
      <c r="K1593" s="338"/>
      <c r="L1593" s="340"/>
      <c r="M1593" s="338"/>
      <c r="N1593" s="341"/>
      <c r="O1593" s="342"/>
      <c r="P1593" s="528"/>
      <c r="Q1593" s="446"/>
      <c r="R1593" s="335"/>
      <c r="S1593" s="2"/>
      <c r="T1593" s="2"/>
      <c r="U1593" s="2"/>
      <c r="V1593" s="2"/>
    </row>
    <row r="1594" spans="1:22" s="8" customFormat="1" ht="29.25" customHeight="1" outlineLevel="1" x14ac:dyDescent="0.25">
      <c r="A1594" s="1149"/>
      <c r="B1594" s="336" t="s">
        <v>1243</v>
      </c>
      <c r="C1594" s="549" t="s">
        <v>37</v>
      </c>
      <c r="D1594" s="339"/>
      <c r="E1594" s="997"/>
      <c r="F1594" s="998"/>
      <c r="G1594" s="339">
        <v>374181.94</v>
      </c>
      <c r="H1594" s="980"/>
      <c r="I1594" s="172"/>
      <c r="J1594" s="338"/>
      <c r="K1594" s="338"/>
      <c r="L1594" s="340"/>
      <c r="M1594" s="338"/>
      <c r="N1594" s="341"/>
      <c r="O1594" s="342"/>
      <c r="P1594" s="528"/>
      <c r="Q1594" s="446"/>
      <c r="R1594" s="335"/>
      <c r="S1594" s="2"/>
      <c r="T1594" s="2"/>
      <c r="U1594" s="2"/>
      <c r="V1594" s="2"/>
    </row>
    <row r="1595" spans="1:22" s="8" customFormat="1" ht="27.75" customHeight="1" outlineLevel="1" x14ac:dyDescent="0.25">
      <c r="A1595" s="1149"/>
      <c r="B1595" s="336" t="s">
        <v>1244</v>
      </c>
      <c r="C1595" s="549" t="s">
        <v>37</v>
      </c>
      <c r="D1595" s="339"/>
      <c r="E1595" s="997"/>
      <c r="F1595" s="998"/>
      <c r="G1595" s="339">
        <v>38420.457799999996</v>
      </c>
      <c r="H1595" s="980"/>
      <c r="I1595" s="172"/>
      <c r="J1595" s="338"/>
      <c r="K1595" s="338"/>
      <c r="L1595" s="340"/>
      <c r="M1595" s="338"/>
      <c r="N1595" s="341"/>
      <c r="O1595" s="342"/>
      <c r="P1595" s="528"/>
      <c r="Q1595" s="446"/>
      <c r="R1595" s="335"/>
      <c r="S1595" s="2"/>
      <c r="T1595" s="2"/>
      <c r="U1595" s="2"/>
      <c r="V1595" s="2"/>
    </row>
    <row r="1596" spans="1:22" s="8" customFormat="1" ht="19.5" customHeight="1" outlineLevel="1" x14ac:dyDescent="0.25">
      <c r="A1596" s="1149"/>
      <c r="B1596" s="336" t="s">
        <v>1245</v>
      </c>
      <c r="C1596" s="549" t="s">
        <v>37</v>
      </c>
      <c r="D1596" s="339"/>
      <c r="E1596" s="997"/>
      <c r="F1596" s="998"/>
      <c r="G1596" s="339">
        <v>80703.043799999999</v>
      </c>
      <c r="H1596" s="980"/>
      <c r="I1596" s="172"/>
      <c r="J1596" s="338"/>
      <c r="K1596" s="338"/>
      <c r="L1596" s="340"/>
      <c r="M1596" s="338"/>
      <c r="N1596" s="341"/>
      <c r="O1596" s="342"/>
      <c r="P1596" s="528"/>
      <c r="Q1596" s="446"/>
      <c r="R1596" s="335"/>
      <c r="S1596" s="2"/>
      <c r="T1596" s="2"/>
      <c r="U1596" s="2"/>
      <c r="V1596" s="2"/>
    </row>
    <row r="1597" spans="1:22" s="8" customFormat="1" ht="19.5" customHeight="1" outlineLevel="1" x14ac:dyDescent="0.25">
      <c r="A1597" s="1149"/>
      <c r="B1597" s="336" t="s">
        <v>1246</v>
      </c>
      <c r="C1597" s="549" t="s">
        <v>37</v>
      </c>
      <c r="D1597" s="339"/>
      <c r="E1597" s="997"/>
      <c r="F1597" s="998"/>
      <c r="G1597" s="339">
        <v>80703.043799999999</v>
      </c>
      <c r="H1597" s="980"/>
      <c r="I1597" s="172"/>
      <c r="J1597" s="338"/>
      <c r="K1597" s="338"/>
      <c r="L1597" s="340"/>
      <c r="M1597" s="338"/>
      <c r="N1597" s="341"/>
      <c r="O1597" s="342"/>
      <c r="P1597" s="528"/>
      <c r="Q1597" s="446"/>
      <c r="R1597" s="335"/>
      <c r="S1597" s="2"/>
      <c r="T1597" s="2"/>
      <c r="U1597" s="2"/>
      <c r="V1597" s="2"/>
    </row>
    <row r="1598" spans="1:22" s="8" customFormat="1" ht="27.75" customHeight="1" outlineLevel="1" x14ac:dyDescent="0.25">
      <c r="A1598" s="1149"/>
      <c r="B1598" s="336" t="s">
        <v>1247</v>
      </c>
      <c r="C1598" s="549" t="s">
        <v>37</v>
      </c>
      <c r="D1598" s="339"/>
      <c r="E1598" s="997"/>
      <c r="F1598" s="998"/>
      <c r="G1598" s="339">
        <v>288743.46000000002</v>
      </c>
      <c r="H1598" s="980"/>
      <c r="I1598" s="172"/>
      <c r="J1598" s="338"/>
      <c r="K1598" s="338"/>
      <c r="L1598" s="340"/>
      <c r="M1598" s="338"/>
      <c r="N1598" s="341"/>
      <c r="O1598" s="342"/>
      <c r="P1598" s="528"/>
      <c r="Q1598" s="446"/>
      <c r="R1598" s="335"/>
      <c r="S1598" s="2"/>
      <c r="T1598" s="2"/>
      <c r="U1598" s="2"/>
      <c r="V1598" s="2"/>
    </row>
    <row r="1599" spans="1:22" s="8" customFormat="1" ht="30.75" customHeight="1" outlineLevel="1" x14ac:dyDescent="0.25">
      <c r="A1599" s="1149"/>
      <c r="B1599" s="336" t="s">
        <v>325</v>
      </c>
      <c r="C1599" s="549" t="s">
        <v>37</v>
      </c>
      <c r="D1599" s="339"/>
      <c r="E1599" s="997"/>
      <c r="F1599" s="998"/>
      <c r="G1599" s="339">
        <v>63409.400399999999</v>
      </c>
      <c r="H1599" s="980"/>
      <c r="I1599" s="172"/>
      <c r="J1599" s="338"/>
      <c r="K1599" s="338"/>
      <c r="L1599" s="340"/>
      <c r="M1599" s="338"/>
      <c r="N1599" s="341"/>
      <c r="O1599" s="342"/>
      <c r="P1599" s="528"/>
      <c r="Q1599" s="446"/>
      <c r="R1599" s="335"/>
      <c r="S1599" s="2"/>
      <c r="T1599" s="2"/>
      <c r="U1599" s="2"/>
      <c r="V1599" s="2"/>
    </row>
    <row r="1600" spans="1:22" s="8" customFormat="1" ht="27.75" customHeight="1" outlineLevel="1" x14ac:dyDescent="0.25">
      <c r="A1600" s="1149"/>
      <c r="B1600" s="336" t="s">
        <v>1248</v>
      </c>
      <c r="C1600" s="549" t="s">
        <v>37</v>
      </c>
      <c r="D1600" s="339"/>
      <c r="E1600" s="997"/>
      <c r="F1600" s="998"/>
      <c r="G1600" s="339">
        <v>59152.420599999998</v>
      </c>
      <c r="H1600" s="980"/>
      <c r="I1600" s="172"/>
      <c r="J1600" s="338"/>
      <c r="K1600" s="338"/>
      <c r="L1600" s="340"/>
      <c r="M1600" s="338"/>
      <c r="N1600" s="341"/>
      <c r="O1600" s="342"/>
      <c r="P1600" s="528"/>
      <c r="Q1600" s="446"/>
      <c r="R1600" s="335"/>
      <c r="S1600" s="2"/>
      <c r="T1600" s="2"/>
      <c r="U1600" s="2"/>
      <c r="V1600" s="2"/>
    </row>
    <row r="1601" spans="1:22" s="8" customFormat="1" ht="19.5" customHeight="1" outlineLevel="1" x14ac:dyDescent="0.25">
      <c r="A1601" s="1149"/>
      <c r="B1601" s="336" t="s">
        <v>1249</v>
      </c>
      <c r="C1601" s="549" t="s">
        <v>37</v>
      </c>
      <c r="D1601" s="339"/>
      <c r="E1601" s="997"/>
      <c r="F1601" s="998"/>
      <c r="G1601" s="339">
        <v>68770.164000000004</v>
      </c>
      <c r="H1601" s="980"/>
      <c r="I1601" s="172"/>
      <c r="J1601" s="338"/>
      <c r="K1601" s="338"/>
      <c r="L1601" s="340"/>
      <c r="M1601" s="338"/>
      <c r="N1601" s="341"/>
      <c r="O1601" s="342"/>
      <c r="P1601" s="528"/>
      <c r="Q1601" s="446"/>
      <c r="R1601" s="335"/>
      <c r="S1601" s="2"/>
      <c r="T1601" s="2"/>
      <c r="U1601" s="2"/>
      <c r="V1601" s="2"/>
    </row>
    <row r="1602" spans="1:22" s="8" customFormat="1" ht="27" customHeight="1" outlineLevel="1" x14ac:dyDescent="0.25">
      <c r="A1602" s="1149"/>
      <c r="B1602" s="336" t="s">
        <v>1250</v>
      </c>
      <c r="C1602" s="549" t="s">
        <v>37</v>
      </c>
      <c r="D1602" s="339"/>
      <c r="E1602" s="997"/>
      <c r="F1602" s="998"/>
      <c r="G1602" s="339">
        <v>88829.408800000005</v>
      </c>
      <c r="H1602" s="980"/>
      <c r="I1602" s="172"/>
      <c r="J1602" s="338"/>
      <c r="K1602" s="338"/>
      <c r="L1602" s="340"/>
      <c r="M1602" s="338"/>
      <c r="N1602" s="341"/>
      <c r="O1602" s="342"/>
      <c r="P1602" s="528"/>
      <c r="Q1602" s="446"/>
      <c r="R1602" s="335"/>
      <c r="S1602" s="2"/>
      <c r="T1602" s="2"/>
      <c r="U1602" s="2"/>
      <c r="V1602" s="2"/>
    </row>
    <row r="1603" spans="1:22" s="8" customFormat="1" ht="28.5" customHeight="1" outlineLevel="1" x14ac:dyDescent="0.25">
      <c r="A1603" s="1149"/>
      <c r="B1603" s="336" t="s">
        <v>1251</v>
      </c>
      <c r="C1603" s="549" t="s">
        <v>37</v>
      </c>
      <c r="D1603" s="339"/>
      <c r="E1603" s="997"/>
      <c r="F1603" s="998"/>
      <c r="G1603" s="339">
        <v>89641.071799999991</v>
      </c>
      <c r="H1603" s="980"/>
      <c r="I1603" s="172"/>
      <c r="J1603" s="338"/>
      <c r="K1603" s="338"/>
      <c r="L1603" s="340"/>
      <c r="M1603" s="338"/>
      <c r="N1603" s="341"/>
      <c r="O1603" s="342"/>
      <c r="P1603" s="528"/>
      <c r="Q1603" s="446"/>
      <c r="R1603" s="335"/>
      <c r="S1603" s="2"/>
      <c r="T1603" s="2"/>
      <c r="U1603" s="2"/>
      <c r="V1603" s="2"/>
    </row>
    <row r="1604" spans="1:22" s="8" customFormat="1" ht="27.75" customHeight="1" outlineLevel="1" x14ac:dyDescent="0.25">
      <c r="A1604" s="1061"/>
      <c r="B1604" s="336" t="s">
        <v>1252</v>
      </c>
      <c r="C1604" s="549" t="s">
        <v>37</v>
      </c>
      <c r="D1604" s="339"/>
      <c r="E1604" s="1132"/>
      <c r="F1604" s="1170"/>
      <c r="G1604" s="339">
        <v>85504.805999999997</v>
      </c>
      <c r="H1604" s="1157"/>
      <c r="I1604" s="172"/>
      <c r="J1604" s="338"/>
      <c r="K1604" s="338"/>
      <c r="L1604" s="340"/>
      <c r="M1604" s="338"/>
      <c r="N1604" s="341"/>
      <c r="O1604" s="342"/>
      <c r="P1604" s="528"/>
      <c r="Q1604" s="446"/>
      <c r="R1604" s="335"/>
      <c r="S1604" s="2"/>
      <c r="T1604" s="2"/>
      <c r="U1604" s="2"/>
      <c r="V1604" s="2"/>
    </row>
    <row r="1605" spans="1:22" ht="17.25" outlineLevel="1" thickBot="1" x14ac:dyDescent="0.3">
      <c r="A1605" s="1134" t="s">
        <v>629</v>
      </c>
      <c r="B1605" s="1135"/>
      <c r="C1605" s="612"/>
      <c r="D1605" s="613">
        <f>SUM(D1580,D1575,D1572,D1569,D1566,D1564,D1561,D1558,D1555,D1552,D1549,D1546,D1543,D1540,D1532,D1525,D1522,D1518,D1514,D1506,D1499,D1496,D1488,D1485,D1482,D1479,D1476,D1473,D1470,D1467,D1464,D1582,D1583)</f>
        <v>292182974.61199999</v>
      </c>
      <c r="E1605" s="612"/>
      <c r="F1605" s="612"/>
      <c r="G1605" s="613">
        <f>SUM(G1580,G1575,G1572,G1569,G1566,G1564,G1561,G1558,G1555,G1552,G1549,G1546,G1543,G1540,G1532,G1525,G1522,G1518,G1514,G1506,G1499,G1496,G1488,G1485,G1482,G1479,G1476,G1473,G1470,G1467,G1464,G1582,G1583)</f>
        <v>288681031.00020003</v>
      </c>
      <c r="H1605" s="612"/>
      <c r="I1605" s="615"/>
      <c r="J1605" s="613">
        <f>J1464+J1467+J1470+J1473+J1476+J1479+J1482+J1485+J1488+J1496+J1499+J1506+J1514+J1518+J1522+J1525+J1532+J1540+J1543+J1546+J1549+J1552+J1555+J1558+J1561+J1564+J1566+J1569+J1572+J1575+J1580+J1582</f>
        <v>216612067.71999997</v>
      </c>
      <c r="K1605" s="613">
        <f>K1464+K1467+K1470+K1473+K1476+K1479+K1482+K1485+K1488+K1496+K1499+K1506+K1514+K1518+K1522+K1525+K1532+K1540+K1543+K1546+K1549+K1552+K1555+K1558+K1561+K1564+K1566+K1569+K1572+K1575+K1580+K1582</f>
        <v>216612067.71699998</v>
      </c>
      <c r="L1605" s="616"/>
      <c r="M1605" s="613"/>
      <c r="N1605" s="427">
        <f>AVERAGE(N1580,N1575,N1572,N1569,N1564,N1561,N1558,N1555,N1552,N1549,N1546,N1543,N1540,N1532,N1525,N1522,N1518,N1514,N1506,N1499,N1496,N1488,N1485,N1482,N1479,N1476,N1473,N1470,N1467,N1464)</f>
        <v>0.88277777777777777</v>
      </c>
      <c r="O1605" s="618"/>
      <c r="P1605" s="176"/>
      <c r="Q1605" s="177"/>
      <c r="R1605" s="132"/>
    </row>
    <row r="1606" spans="1:22" s="5" customFormat="1" ht="27.75" customHeight="1" thickBot="1" x14ac:dyDescent="0.3">
      <c r="A1606" s="1099" t="s">
        <v>648</v>
      </c>
      <c r="B1606" s="1100"/>
      <c r="C1606" s="1100"/>
      <c r="D1606" s="1100"/>
      <c r="E1606" s="1100"/>
      <c r="F1606" s="1100"/>
      <c r="G1606" s="1100"/>
      <c r="H1606" s="1100"/>
      <c r="I1606" s="1100"/>
      <c r="J1606" s="1100"/>
      <c r="K1606" s="1100"/>
      <c r="L1606" s="1100"/>
      <c r="M1606" s="1100"/>
      <c r="N1606" s="1100"/>
      <c r="O1606" s="1100"/>
      <c r="P1606" s="176"/>
      <c r="Q1606" s="177"/>
      <c r="R1606" s="168"/>
      <c r="S1606" s="19"/>
      <c r="T1606" s="19"/>
      <c r="U1606" s="19"/>
      <c r="V1606" s="19"/>
    </row>
    <row r="1607" spans="1:22" s="5" customFormat="1" ht="33" x14ac:dyDescent="0.25">
      <c r="A1607" s="1069">
        <v>1</v>
      </c>
      <c r="B1607" s="1075" t="s">
        <v>336</v>
      </c>
      <c r="C1607" s="696" t="s">
        <v>501</v>
      </c>
      <c r="D1607" s="696">
        <v>27050000</v>
      </c>
      <c r="E1607" s="220" t="s">
        <v>1175</v>
      </c>
      <c r="F1607" s="220" t="s">
        <v>1021</v>
      </c>
      <c r="G1607" s="698">
        <v>25751562.710000001</v>
      </c>
      <c r="H1607" s="223">
        <v>42906</v>
      </c>
      <c r="I1607" s="224"/>
      <c r="J1607" s="225"/>
      <c r="K1607" s="225"/>
      <c r="L1607" s="226"/>
      <c r="M1607" s="225"/>
      <c r="N1607" s="376">
        <v>0</v>
      </c>
      <c r="O1607" s="736"/>
      <c r="P1607" s="176">
        <v>2017</v>
      </c>
      <c r="Q1607" s="177"/>
      <c r="R1607" s="168"/>
      <c r="S1607" s="19"/>
      <c r="T1607" s="19"/>
      <c r="U1607" s="19"/>
      <c r="V1607" s="19"/>
    </row>
    <row r="1608" spans="1:22" ht="49.5" outlineLevel="1" x14ac:dyDescent="0.25">
      <c r="A1608" s="1070"/>
      <c r="B1608" s="1076"/>
      <c r="C1608" s="356" t="s">
        <v>37</v>
      </c>
      <c r="D1608" s="357">
        <v>90683.57</v>
      </c>
      <c r="E1608" s="361" t="s">
        <v>576</v>
      </c>
      <c r="F1608" s="358" t="s">
        <v>586</v>
      </c>
      <c r="G1608" s="359">
        <v>90683.57</v>
      </c>
      <c r="H1608" s="360">
        <v>42429</v>
      </c>
      <c r="I1608" s="360">
        <v>42593</v>
      </c>
      <c r="J1608" s="361">
        <v>90683.57</v>
      </c>
      <c r="K1608" s="361">
        <v>90683.57</v>
      </c>
      <c r="L1608" s="360"/>
      <c r="M1608" s="361"/>
      <c r="N1608" s="362"/>
      <c r="O1608" s="466" t="s">
        <v>733</v>
      </c>
      <c r="P1608" s="176"/>
      <c r="Q1608" s="177"/>
      <c r="R1608" s="132"/>
    </row>
    <row r="1609" spans="1:22" ht="17.25" outlineLevel="1" thickBot="1" x14ac:dyDescent="0.3">
      <c r="A1609" s="1006" t="s">
        <v>628</v>
      </c>
      <c r="B1609" s="1007"/>
      <c r="C1609" s="481"/>
      <c r="D1609" s="480">
        <f>SUM(D1607:D1608)</f>
        <v>27140683.57</v>
      </c>
      <c r="E1609" s="239"/>
      <c r="F1609" s="239"/>
      <c r="G1609" s="693">
        <f>SUM(G1607:G1608)</f>
        <v>25842246.280000001</v>
      </c>
      <c r="H1609" s="239"/>
      <c r="I1609" s="321"/>
      <c r="J1609" s="480">
        <f>SUM(J1607:J1608)</f>
        <v>90683.57</v>
      </c>
      <c r="K1609" s="480">
        <f>SUM(K1607:K1608)</f>
        <v>90683.57</v>
      </c>
      <c r="L1609" s="482"/>
      <c r="M1609" s="480"/>
      <c r="N1609" s="421">
        <f>AVERAGE(N1607:N1608)</f>
        <v>0</v>
      </c>
      <c r="O1609" s="713"/>
      <c r="P1609" s="176"/>
      <c r="Q1609" s="177"/>
      <c r="R1609" s="132"/>
    </row>
    <row r="1610" spans="1:22" s="5" customFormat="1" ht="33" x14ac:dyDescent="0.25">
      <c r="A1610" s="1069">
        <v>2</v>
      </c>
      <c r="B1610" s="1075" t="s">
        <v>337</v>
      </c>
      <c r="C1610" s="696" t="s">
        <v>36</v>
      </c>
      <c r="D1610" s="696">
        <v>1042448.58</v>
      </c>
      <c r="E1610" s="220" t="s">
        <v>1056</v>
      </c>
      <c r="F1610" s="220" t="s">
        <v>830</v>
      </c>
      <c r="G1610" s="698">
        <v>1042448.58</v>
      </c>
      <c r="H1610" s="223">
        <v>42605</v>
      </c>
      <c r="I1610" s="224"/>
      <c r="J1610" s="225"/>
      <c r="K1610" s="225"/>
      <c r="L1610" s="226"/>
      <c r="M1610" s="225"/>
      <c r="N1610" s="376">
        <v>0</v>
      </c>
      <c r="O1610" s="736"/>
      <c r="P1610" s="176"/>
      <c r="Q1610" s="201" t="s">
        <v>1114</v>
      </c>
      <c r="R1610" s="168"/>
      <c r="S1610" s="19"/>
      <c r="T1610" s="19"/>
      <c r="U1610" s="19"/>
      <c r="V1610" s="19"/>
    </row>
    <row r="1611" spans="1:22" ht="49.5" outlineLevel="1" x14ac:dyDescent="0.25">
      <c r="A1611" s="1070"/>
      <c r="B1611" s="1076"/>
      <c r="C1611" s="356" t="s">
        <v>37</v>
      </c>
      <c r="D1611" s="357">
        <v>63559.33</v>
      </c>
      <c r="E1611" s="361" t="s">
        <v>576</v>
      </c>
      <c r="F1611" s="358" t="s">
        <v>586</v>
      </c>
      <c r="G1611" s="359">
        <v>63559.33</v>
      </c>
      <c r="H1611" s="360">
        <v>42429</v>
      </c>
      <c r="I1611" s="360">
        <v>42593</v>
      </c>
      <c r="J1611" s="361">
        <v>63559.33</v>
      </c>
      <c r="K1611" s="361">
        <v>63559.33</v>
      </c>
      <c r="L1611" s="360"/>
      <c r="M1611" s="361"/>
      <c r="N1611" s="362"/>
      <c r="O1611" s="466" t="s">
        <v>733</v>
      </c>
      <c r="P1611" s="176"/>
      <c r="Q1611" s="177"/>
      <c r="R1611" s="132"/>
    </row>
    <row r="1612" spans="1:22" ht="17.25" outlineLevel="1" thickBot="1" x14ac:dyDescent="0.3">
      <c r="A1612" s="1006" t="s">
        <v>628</v>
      </c>
      <c r="B1612" s="1007"/>
      <c r="C1612" s="481"/>
      <c r="D1612" s="480">
        <f>SUM(D1610:D1611)</f>
        <v>1106007.9099999999</v>
      </c>
      <c r="E1612" s="239"/>
      <c r="F1612" s="239"/>
      <c r="G1612" s="693">
        <f>SUM(G1610:G1611)</f>
        <v>1106007.9099999999</v>
      </c>
      <c r="H1612" s="239"/>
      <c r="I1612" s="321"/>
      <c r="J1612" s="480">
        <f>SUM(J1610:J1611)</f>
        <v>63559.33</v>
      </c>
      <c r="K1612" s="480">
        <f>SUM(K1610:K1611)</f>
        <v>63559.33</v>
      </c>
      <c r="L1612" s="482"/>
      <c r="M1612" s="480"/>
      <c r="N1612" s="421">
        <f>AVERAGE(N1610:N1611)</f>
        <v>0</v>
      </c>
      <c r="O1612" s="713"/>
      <c r="P1612" s="176"/>
      <c r="Q1612" s="177"/>
      <c r="R1612" s="132"/>
    </row>
    <row r="1613" spans="1:22" s="5" customFormat="1" ht="33" x14ac:dyDescent="0.25">
      <c r="A1613" s="1069">
        <v>3</v>
      </c>
      <c r="B1613" s="1075" t="s">
        <v>338</v>
      </c>
      <c r="C1613" s="696" t="s">
        <v>34</v>
      </c>
      <c r="D1613" s="696">
        <v>8623724.3800000008</v>
      </c>
      <c r="E1613" s="220" t="s">
        <v>1056</v>
      </c>
      <c r="F1613" s="220" t="s">
        <v>830</v>
      </c>
      <c r="G1613" s="698">
        <v>8623724.3800000008</v>
      </c>
      <c r="H1613" s="223">
        <v>42605</v>
      </c>
      <c r="I1613" s="224"/>
      <c r="J1613" s="225"/>
      <c r="K1613" s="225"/>
      <c r="L1613" s="226"/>
      <c r="M1613" s="225"/>
      <c r="N1613" s="376">
        <v>0.8</v>
      </c>
      <c r="O1613" s="736"/>
      <c r="P1613" s="176"/>
      <c r="Q1613" s="201" t="s">
        <v>1114</v>
      </c>
      <c r="R1613" s="168"/>
      <c r="S1613" s="19"/>
      <c r="T1613" s="19"/>
      <c r="U1613" s="19"/>
      <c r="V1613" s="19"/>
    </row>
    <row r="1614" spans="1:22" ht="33" outlineLevel="1" x14ac:dyDescent="0.25">
      <c r="A1614" s="1070"/>
      <c r="B1614" s="1076"/>
      <c r="C1614" s="339" t="s">
        <v>35</v>
      </c>
      <c r="D1614" s="339">
        <v>971176.58</v>
      </c>
      <c r="E1614" s="173" t="s">
        <v>1056</v>
      </c>
      <c r="F1614" s="432" t="s">
        <v>830</v>
      </c>
      <c r="G1614" s="521">
        <v>971176.58</v>
      </c>
      <c r="H1614" s="171">
        <v>42605</v>
      </c>
      <c r="I1614" s="172"/>
      <c r="J1614" s="173"/>
      <c r="K1614" s="173"/>
      <c r="L1614" s="171"/>
      <c r="M1614" s="173"/>
      <c r="N1614" s="460">
        <v>0.2</v>
      </c>
      <c r="O1614" s="733"/>
      <c r="P1614" s="176"/>
      <c r="Q1614" s="201" t="s">
        <v>1114</v>
      </c>
      <c r="R1614" s="132"/>
    </row>
    <row r="1615" spans="1:22" ht="33" outlineLevel="1" x14ac:dyDescent="0.25">
      <c r="A1615" s="1070"/>
      <c r="B1615" s="1076"/>
      <c r="C1615" s="339" t="s">
        <v>36</v>
      </c>
      <c r="D1615" s="339">
        <v>1077101.6399999999</v>
      </c>
      <c r="E1615" s="173" t="s">
        <v>1056</v>
      </c>
      <c r="F1615" s="432" t="s">
        <v>830</v>
      </c>
      <c r="G1615" s="703">
        <v>1077101.6399999999</v>
      </c>
      <c r="H1615" s="171">
        <v>42605</v>
      </c>
      <c r="I1615" s="172"/>
      <c r="J1615" s="173"/>
      <c r="K1615" s="173"/>
      <c r="L1615" s="171"/>
      <c r="M1615" s="173"/>
      <c r="N1615" s="460">
        <v>0</v>
      </c>
      <c r="O1615" s="733"/>
      <c r="P1615" s="176"/>
      <c r="Q1615" s="201" t="s">
        <v>1114</v>
      </c>
      <c r="R1615" s="132"/>
    </row>
    <row r="1616" spans="1:22" ht="33" outlineLevel="1" x14ac:dyDescent="0.25">
      <c r="A1616" s="1070"/>
      <c r="B1616" s="1076"/>
      <c r="C1616" s="339" t="s">
        <v>501</v>
      </c>
      <c r="D1616" s="339">
        <v>11920000</v>
      </c>
      <c r="E1616" s="173" t="s">
        <v>1176</v>
      </c>
      <c r="F1616" s="432" t="s">
        <v>1021</v>
      </c>
      <c r="G1616" s="703">
        <v>10824346.039999999</v>
      </c>
      <c r="H1616" s="171">
        <v>42886</v>
      </c>
      <c r="I1616" s="172"/>
      <c r="J1616" s="173"/>
      <c r="K1616" s="173"/>
      <c r="L1616" s="496"/>
      <c r="M1616" s="173"/>
      <c r="N1616" s="305">
        <v>0</v>
      </c>
      <c r="O1616" s="299"/>
      <c r="P1616" s="176">
        <v>2017</v>
      </c>
      <c r="Q1616" s="177"/>
      <c r="R1616" s="132"/>
    </row>
    <row r="1617" spans="1:22" ht="16.5" outlineLevel="1" x14ac:dyDescent="0.25">
      <c r="A1617" s="1070"/>
      <c r="B1617" s="1076"/>
      <c r="C1617" s="339" t="s">
        <v>505</v>
      </c>
      <c r="D1617" s="339">
        <v>954954</v>
      </c>
      <c r="E1617" s="173"/>
      <c r="F1617" s="432"/>
      <c r="G1617" s="703"/>
      <c r="H1617" s="171">
        <v>42886</v>
      </c>
      <c r="I1617" s="172"/>
      <c r="J1617" s="173"/>
      <c r="K1617" s="173"/>
      <c r="L1617" s="171"/>
      <c r="M1617" s="173"/>
      <c r="N1617" s="460">
        <v>0</v>
      </c>
      <c r="O1617" s="733"/>
      <c r="P1617" s="176">
        <v>2017</v>
      </c>
      <c r="Q1617" s="177"/>
      <c r="R1617" s="132"/>
    </row>
    <row r="1618" spans="1:22" ht="49.5" outlineLevel="1" x14ac:dyDescent="0.25">
      <c r="A1618" s="1070"/>
      <c r="B1618" s="1076"/>
      <c r="C1618" s="356" t="s">
        <v>37</v>
      </c>
      <c r="D1618" s="357">
        <v>349078.16</v>
      </c>
      <c r="E1618" s="361" t="s">
        <v>576</v>
      </c>
      <c r="F1618" s="358" t="s">
        <v>586</v>
      </c>
      <c r="G1618" s="359">
        <v>349078.16</v>
      </c>
      <c r="H1618" s="360">
        <v>42429</v>
      </c>
      <c r="I1618" s="360">
        <v>42593</v>
      </c>
      <c r="J1618" s="361">
        <v>349078.16</v>
      </c>
      <c r="K1618" s="361">
        <v>349078.16</v>
      </c>
      <c r="L1618" s="360"/>
      <c r="M1618" s="361"/>
      <c r="N1618" s="362"/>
      <c r="O1618" s="466" t="s">
        <v>733</v>
      </c>
      <c r="P1618" s="176"/>
      <c r="Q1618" s="177"/>
      <c r="R1618" s="132"/>
    </row>
    <row r="1619" spans="1:22" ht="17.25" outlineLevel="1" thickBot="1" x14ac:dyDescent="0.3">
      <c r="A1619" s="1006" t="s">
        <v>628</v>
      </c>
      <c r="B1619" s="1007"/>
      <c r="C1619" s="481"/>
      <c r="D1619" s="480">
        <f>SUM(D1613:D1618)</f>
        <v>23896034.760000002</v>
      </c>
      <c r="E1619" s="239"/>
      <c r="F1619" s="239"/>
      <c r="G1619" s="693">
        <f>SUM(G1613:G1618)</f>
        <v>21845426.800000001</v>
      </c>
      <c r="H1619" s="239"/>
      <c r="I1619" s="321"/>
      <c r="J1619" s="480">
        <f>SUM(J1613:J1618)</f>
        <v>349078.16</v>
      </c>
      <c r="K1619" s="480">
        <f>SUM(K1613:K1618)</f>
        <v>349078.16</v>
      </c>
      <c r="L1619" s="482"/>
      <c r="M1619" s="480"/>
      <c r="N1619" s="421">
        <f>AVERAGE(N1613:N1618)</f>
        <v>0.2</v>
      </c>
      <c r="O1619" s="713"/>
      <c r="P1619" s="176"/>
      <c r="Q1619" s="177"/>
      <c r="R1619" s="132"/>
    </row>
    <row r="1620" spans="1:22" s="5" customFormat="1" ht="33" x14ac:dyDescent="0.25">
      <c r="A1620" s="1069">
        <v>4</v>
      </c>
      <c r="B1620" s="1075" t="s">
        <v>578</v>
      </c>
      <c r="C1620" s="696" t="s">
        <v>36</v>
      </c>
      <c r="D1620" s="696">
        <v>1042448.58</v>
      </c>
      <c r="E1620" s="220" t="s">
        <v>1056</v>
      </c>
      <c r="F1620" s="220" t="s">
        <v>830</v>
      </c>
      <c r="G1620" s="698">
        <v>1042448.58</v>
      </c>
      <c r="H1620" s="223">
        <v>42605</v>
      </c>
      <c r="I1620" s="224"/>
      <c r="J1620" s="225"/>
      <c r="K1620" s="225"/>
      <c r="L1620" s="226"/>
      <c r="M1620" s="225"/>
      <c r="N1620" s="376">
        <v>0</v>
      </c>
      <c r="O1620" s="736"/>
      <c r="P1620" s="176"/>
      <c r="Q1620" s="201" t="s">
        <v>1114</v>
      </c>
      <c r="R1620" s="168"/>
      <c r="S1620" s="19"/>
      <c r="T1620" s="19"/>
      <c r="U1620" s="19"/>
      <c r="V1620" s="19"/>
    </row>
    <row r="1621" spans="1:22" ht="49.5" outlineLevel="1" x14ac:dyDescent="0.25">
      <c r="A1621" s="1070"/>
      <c r="B1621" s="1076"/>
      <c r="C1621" s="356" t="s">
        <v>37</v>
      </c>
      <c r="D1621" s="357">
        <v>65958.59</v>
      </c>
      <c r="E1621" s="361" t="s">
        <v>576</v>
      </c>
      <c r="F1621" s="358" t="s">
        <v>586</v>
      </c>
      <c r="G1621" s="359">
        <v>65958.59</v>
      </c>
      <c r="H1621" s="360">
        <v>42429</v>
      </c>
      <c r="I1621" s="360">
        <v>42593</v>
      </c>
      <c r="J1621" s="361">
        <v>65958.59</v>
      </c>
      <c r="K1621" s="361">
        <v>65958.59</v>
      </c>
      <c r="L1621" s="360"/>
      <c r="M1621" s="361"/>
      <c r="N1621" s="362"/>
      <c r="O1621" s="466" t="s">
        <v>733</v>
      </c>
      <c r="P1621" s="176"/>
      <c r="Q1621" s="177"/>
      <c r="R1621" s="132"/>
    </row>
    <row r="1622" spans="1:22" ht="17.25" outlineLevel="1" thickBot="1" x14ac:dyDescent="0.3">
      <c r="A1622" s="1010" t="s">
        <v>628</v>
      </c>
      <c r="B1622" s="1011"/>
      <c r="C1622" s="585"/>
      <c r="D1622" s="480">
        <f>SUM(D1620:D1621)</f>
        <v>1108407.17</v>
      </c>
      <c r="E1622" s="247"/>
      <c r="F1622" s="247"/>
      <c r="G1622" s="693">
        <f>SUM(G1620:G1621)</f>
        <v>1108407.17</v>
      </c>
      <c r="H1622" s="247"/>
      <c r="I1622" s="277"/>
      <c r="J1622" s="480">
        <f>SUM(J1620:J1621)</f>
        <v>65958.59</v>
      </c>
      <c r="K1622" s="480">
        <f>SUM(K1620:K1621)</f>
        <v>65958.59</v>
      </c>
      <c r="L1622" s="579"/>
      <c r="M1622" s="577"/>
      <c r="N1622" s="421">
        <f>AVERAGE(N1620:N1621)</f>
        <v>0</v>
      </c>
      <c r="O1622" s="734"/>
      <c r="P1622" s="176"/>
      <c r="Q1622" s="177"/>
      <c r="R1622" s="132"/>
    </row>
    <row r="1623" spans="1:22" s="5" customFormat="1" ht="33" x14ac:dyDescent="0.25">
      <c r="A1623" s="1069">
        <v>5</v>
      </c>
      <c r="B1623" s="1080" t="s">
        <v>352</v>
      </c>
      <c r="C1623" s="278" t="s">
        <v>500</v>
      </c>
      <c r="D1623" s="159">
        <v>3391078.1</v>
      </c>
      <c r="E1623" s="197" t="s">
        <v>941</v>
      </c>
      <c r="F1623" s="197" t="s">
        <v>942</v>
      </c>
      <c r="G1623" s="160">
        <v>3087819.88</v>
      </c>
      <c r="H1623" s="161">
        <v>42614</v>
      </c>
      <c r="I1623" s="161">
        <v>42628</v>
      </c>
      <c r="J1623" s="162">
        <v>3391078.1</v>
      </c>
      <c r="K1623" s="162">
        <v>3391078.1</v>
      </c>
      <c r="L1623" s="198"/>
      <c r="M1623" s="199"/>
      <c r="N1623" s="200">
        <v>1</v>
      </c>
      <c r="O1623" s="699"/>
      <c r="P1623" s="176"/>
      <c r="Q1623" s="177"/>
      <c r="R1623" s="168"/>
      <c r="S1623" s="19"/>
      <c r="T1623" s="19"/>
      <c r="U1623" s="19"/>
      <c r="V1623" s="19"/>
    </row>
    <row r="1624" spans="1:22" ht="49.5" outlineLevel="1" x14ac:dyDescent="0.25">
      <c r="A1624" s="1070"/>
      <c r="B1624" s="1064"/>
      <c r="C1624" s="356" t="s">
        <v>37</v>
      </c>
      <c r="D1624" s="357">
        <v>100224.47</v>
      </c>
      <c r="E1624" s="361" t="s">
        <v>576</v>
      </c>
      <c r="F1624" s="358" t="s">
        <v>586</v>
      </c>
      <c r="G1624" s="359">
        <v>100224.47</v>
      </c>
      <c r="H1624" s="360">
        <v>42429</v>
      </c>
      <c r="I1624" s="360">
        <v>42593</v>
      </c>
      <c r="J1624" s="361">
        <v>100224.47</v>
      </c>
      <c r="K1624" s="361">
        <v>100224.47</v>
      </c>
      <c r="L1624" s="360"/>
      <c r="M1624" s="361"/>
      <c r="N1624" s="362"/>
      <c r="O1624" s="466" t="s">
        <v>733</v>
      </c>
      <c r="P1624" s="176"/>
      <c r="Q1624" s="177"/>
      <c r="R1624" s="132"/>
    </row>
    <row r="1625" spans="1:22" ht="17.25" outlineLevel="1" thickBot="1" x14ac:dyDescent="0.3">
      <c r="A1625" s="1006" t="s">
        <v>628</v>
      </c>
      <c r="B1625" s="1007"/>
      <c r="C1625" s="691"/>
      <c r="D1625" s="480">
        <f>SUM(D1623:D1624)</f>
        <v>3491302.5700000003</v>
      </c>
      <c r="E1625" s="239"/>
      <c r="F1625" s="239"/>
      <c r="G1625" s="693">
        <f>SUM(G1623:G1624)</f>
        <v>3188044.35</v>
      </c>
      <c r="H1625" s="239"/>
      <c r="I1625" s="321"/>
      <c r="J1625" s="480">
        <f>SUM(J1623:J1624)</f>
        <v>3491302.5700000003</v>
      </c>
      <c r="K1625" s="480">
        <f>SUM(K1623:K1624)</f>
        <v>3491302.5700000003</v>
      </c>
      <c r="L1625" s="482"/>
      <c r="M1625" s="480"/>
      <c r="N1625" s="421">
        <f>AVERAGE(N1623:N1624)</f>
        <v>1</v>
      </c>
      <c r="O1625" s="694"/>
      <c r="P1625" s="176"/>
      <c r="Q1625" s="177"/>
      <c r="R1625" s="132"/>
    </row>
    <row r="1626" spans="1:22" s="5" customFormat="1" ht="33" x14ac:dyDescent="0.25">
      <c r="A1626" s="1069">
        <v>6</v>
      </c>
      <c r="B1626" s="1080" t="s">
        <v>353</v>
      </c>
      <c r="C1626" s="278" t="s">
        <v>500</v>
      </c>
      <c r="D1626" s="159">
        <v>3388354.66</v>
      </c>
      <c r="E1626" s="197" t="s">
        <v>943</v>
      </c>
      <c r="F1626" s="197" t="s">
        <v>942</v>
      </c>
      <c r="G1626" s="160">
        <v>3087819.88</v>
      </c>
      <c r="H1626" s="161">
        <v>42614</v>
      </c>
      <c r="I1626" s="161">
        <v>42628</v>
      </c>
      <c r="J1626" s="162">
        <v>3388354.66</v>
      </c>
      <c r="K1626" s="162">
        <v>3388354.66</v>
      </c>
      <c r="L1626" s="198"/>
      <c r="M1626" s="199"/>
      <c r="N1626" s="200">
        <v>1</v>
      </c>
      <c r="O1626" s="699"/>
      <c r="P1626" s="176"/>
      <c r="Q1626" s="177"/>
      <c r="R1626" s="168"/>
      <c r="S1626" s="19"/>
      <c r="T1626" s="19"/>
      <c r="U1626" s="19"/>
      <c r="V1626" s="19"/>
    </row>
    <row r="1627" spans="1:22" ht="49.5" outlineLevel="1" x14ac:dyDescent="0.25">
      <c r="A1627" s="1070"/>
      <c r="B1627" s="1064"/>
      <c r="C1627" s="356" t="s">
        <v>37</v>
      </c>
      <c r="D1627" s="357">
        <v>100413.86</v>
      </c>
      <c r="E1627" s="361" t="s">
        <v>576</v>
      </c>
      <c r="F1627" s="358" t="s">
        <v>586</v>
      </c>
      <c r="G1627" s="359">
        <v>100413.86</v>
      </c>
      <c r="H1627" s="360">
        <v>42429</v>
      </c>
      <c r="I1627" s="360">
        <v>42593</v>
      </c>
      <c r="J1627" s="361">
        <v>100413.86</v>
      </c>
      <c r="K1627" s="361">
        <v>100413.86</v>
      </c>
      <c r="L1627" s="360"/>
      <c r="M1627" s="361"/>
      <c r="N1627" s="362"/>
      <c r="O1627" s="466" t="s">
        <v>733</v>
      </c>
      <c r="P1627" s="176"/>
      <c r="Q1627" s="177"/>
      <c r="R1627" s="132"/>
    </row>
    <row r="1628" spans="1:22" ht="17.25" outlineLevel="1" thickBot="1" x14ac:dyDescent="0.3">
      <c r="A1628" s="1006" t="s">
        <v>628</v>
      </c>
      <c r="B1628" s="1007"/>
      <c r="C1628" s="691"/>
      <c r="D1628" s="480">
        <f>SUM(D1626:D1627)</f>
        <v>3488768.52</v>
      </c>
      <c r="E1628" s="239"/>
      <c r="F1628" s="239"/>
      <c r="G1628" s="693">
        <f>SUM(G1626:G1627)</f>
        <v>3188233.7399999998</v>
      </c>
      <c r="H1628" s="239"/>
      <c r="I1628" s="321"/>
      <c r="J1628" s="480">
        <f>SUM(J1626:J1627)</f>
        <v>3488768.52</v>
      </c>
      <c r="K1628" s="480">
        <f>SUM(K1626:K1627)</f>
        <v>3488768.52</v>
      </c>
      <c r="L1628" s="482"/>
      <c r="M1628" s="480"/>
      <c r="N1628" s="421">
        <f>AVERAGE(N1626:N1627)</f>
        <v>1</v>
      </c>
      <c r="O1628" s="694"/>
      <c r="P1628" s="176"/>
      <c r="Q1628" s="177"/>
      <c r="R1628" s="132"/>
    </row>
    <row r="1629" spans="1:22" s="5" customFormat="1" ht="33" x14ac:dyDescent="0.25">
      <c r="A1629" s="1069">
        <v>7</v>
      </c>
      <c r="B1629" s="1080" t="s">
        <v>342</v>
      </c>
      <c r="C1629" s="278" t="s">
        <v>500</v>
      </c>
      <c r="D1629" s="159">
        <v>6452002.8200000003</v>
      </c>
      <c r="E1629" s="197" t="s">
        <v>1022</v>
      </c>
      <c r="F1629" s="197" t="s">
        <v>1021</v>
      </c>
      <c r="G1629" s="160">
        <v>7504653.6799999997</v>
      </c>
      <c r="H1629" s="161">
        <v>42639</v>
      </c>
      <c r="I1629" s="161">
        <v>42661</v>
      </c>
      <c r="J1629" s="162">
        <v>6452002.8200000003</v>
      </c>
      <c r="K1629" s="162">
        <v>6452002.8200000003</v>
      </c>
      <c r="L1629" s="198"/>
      <c r="M1629" s="199"/>
      <c r="N1629" s="200">
        <v>1</v>
      </c>
      <c r="O1629" s="699"/>
      <c r="P1629" s="176"/>
      <c r="Q1629" s="201" t="s">
        <v>1121</v>
      </c>
      <c r="R1629" s="168"/>
      <c r="S1629" s="19"/>
      <c r="T1629" s="19"/>
      <c r="U1629" s="19"/>
      <c r="V1629" s="19"/>
    </row>
    <row r="1630" spans="1:22" s="5" customFormat="1" ht="49.5" outlineLevel="1" x14ac:dyDescent="0.25">
      <c r="A1630" s="1070"/>
      <c r="B1630" s="1064"/>
      <c r="C1630" s="356" t="s">
        <v>37</v>
      </c>
      <c r="D1630" s="357">
        <v>100088.85</v>
      </c>
      <c r="E1630" s="361" t="s">
        <v>576</v>
      </c>
      <c r="F1630" s="358" t="s">
        <v>586</v>
      </c>
      <c r="G1630" s="359">
        <v>100088.85</v>
      </c>
      <c r="H1630" s="360">
        <v>42429</v>
      </c>
      <c r="I1630" s="360">
        <v>42593</v>
      </c>
      <c r="J1630" s="361">
        <v>100088.85</v>
      </c>
      <c r="K1630" s="361">
        <v>100088.85</v>
      </c>
      <c r="L1630" s="360"/>
      <c r="M1630" s="361"/>
      <c r="N1630" s="362"/>
      <c r="O1630" s="466" t="s">
        <v>733</v>
      </c>
      <c r="P1630" s="176"/>
      <c r="Q1630" s="177"/>
      <c r="R1630" s="168"/>
      <c r="S1630" s="19"/>
      <c r="T1630" s="19"/>
      <c r="U1630" s="19"/>
      <c r="V1630" s="19"/>
    </row>
    <row r="1631" spans="1:22" ht="17.25" outlineLevel="1" thickBot="1" x14ac:dyDescent="0.3">
      <c r="A1631" s="1010" t="s">
        <v>628</v>
      </c>
      <c r="B1631" s="1011"/>
      <c r="C1631" s="607"/>
      <c r="D1631" s="480">
        <f>SUM(D1629:D1630)</f>
        <v>6552091.6699999999</v>
      </c>
      <c r="E1631" s="247"/>
      <c r="F1631" s="247"/>
      <c r="G1631" s="693">
        <f>SUM(G1629:G1630)</f>
        <v>7604742.5299999993</v>
      </c>
      <c r="H1631" s="247"/>
      <c r="I1631" s="277"/>
      <c r="J1631" s="480">
        <f>SUM(J1629:J1630)</f>
        <v>6552091.6699999999</v>
      </c>
      <c r="K1631" s="480">
        <f>SUM(K1629:K1630)</f>
        <v>6552091.6699999999</v>
      </c>
      <c r="L1631" s="579"/>
      <c r="M1631" s="577"/>
      <c r="N1631" s="421">
        <f>AVERAGE(N1629:N1630)</f>
        <v>1</v>
      </c>
      <c r="O1631" s="707"/>
      <c r="P1631" s="176"/>
      <c r="Q1631" s="177"/>
      <c r="R1631" s="132"/>
    </row>
    <row r="1632" spans="1:22" s="5" customFormat="1" ht="33" x14ac:dyDescent="0.25">
      <c r="A1632" s="1069">
        <v>8</v>
      </c>
      <c r="B1632" s="1080" t="s">
        <v>343</v>
      </c>
      <c r="C1632" s="278" t="s">
        <v>500</v>
      </c>
      <c r="D1632" s="159">
        <v>6452002.8200000003</v>
      </c>
      <c r="E1632" s="197" t="s">
        <v>1022</v>
      </c>
      <c r="F1632" s="197" t="s">
        <v>1021</v>
      </c>
      <c r="G1632" s="160">
        <v>7504653.6799999997</v>
      </c>
      <c r="H1632" s="161">
        <v>42639</v>
      </c>
      <c r="I1632" s="161">
        <v>42661</v>
      </c>
      <c r="J1632" s="162">
        <v>6452002.8200000003</v>
      </c>
      <c r="K1632" s="162">
        <v>6452002.8200000003</v>
      </c>
      <c r="L1632" s="198"/>
      <c r="M1632" s="199"/>
      <c r="N1632" s="200">
        <v>1</v>
      </c>
      <c r="O1632" s="699"/>
      <c r="P1632" s="176"/>
      <c r="Q1632" s="201" t="s">
        <v>1121</v>
      </c>
      <c r="R1632" s="168"/>
      <c r="S1632" s="19"/>
      <c r="T1632" s="19"/>
      <c r="U1632" s="19"/>
      <c r="V1632" s="19"/>
    </row>
    <row r="1633" spans="1:22" ht="49.5" outlineLevel="1" x14ac:dyDescent="0.25">
      <c r="A1633" s="1070"/>
      <c r="B1633" s="1064"/>
      <c r="C1633" s="356" t="s">
        <v>37</v>
      </c>
      <c r="D1633" s="357">
        <v>96514.59</v>
      </c>
      <c r="E1633" s="361" t="s">
        <v>576</v>
      </c>
      <c r="F1633" s="358" t="s">
        <v>586</v>
      </c>
      <c r="G1633" s="359">
        <v>96514.59</v>
      </c>
      <c r="H1633" s="360">
        <v>42429</v>
      </c>
      <c r="I1633" s="360">
        <v>42593</v>
      </c>
      <c r="J1633" s="361">
        <v>96514.59</v>
      </c>
      <c r="K1633" s="361">
        <v>96514.59</v>
      </c>
      <c r="L1633" s="360"/>
      <c r="M1633" s="361"/>
      <c r="N1633" s="362"/>
      <c r="O1633" s="466" t="s">
        <v>733</v>
      </c>
      <c r="P1633" s="176"/>
      <c r="Q1633" s="177"/>
      <c r="R1633" s="132"/>
    </row>
    <row r="1634" spans="1:22" ht="17.25" outlineLevel="1" thickBot="1" x14ac:dyDescent="0.3">
      <c r="A1634" s="1006" t="s">
        <v>628</v>
      </c>
      <c r="B1634" s="1007"/>
      <c r="C1634" s="691"/>
      <c r="D1634" s="480">
        <f>SUM(D1632:D1633)</f>
        <v>6548517.4100000001</v>
      </c>
      <c r="E1634" s="239"/>
      <c r="F1634" s="239"/>
      <c r="G1634" s="693">
        <f>SUM(G1632:G1633)</f>
        <v>7601168.2699999996</v>
      </c>
      <c r="H1634" s="239"/>
      <c r="I1634" s="321"/>
      <c r="J1634" s="480">
        <f>SUM(J1632:J1633)</f>
        <v>6548517.4100000001</v>
      </c>
      <c r="K1634" s="480">
        <f>SUM(K1632:K1633)</f>
        <v>6548517.4100000001</v>
      </c>
      <c r="L1634" s="482"/>
      <c r="M1634" s="480"/>
      <c r="N1634" s="421">
        <f>AVERAGE(N1632:N1633)</f>
        <v>1</v>
      </c>
      <c r="O1634" s="694"/>
      <c r="P1634" s="176"/>
      <c r="Q1634" s="177"/>
      <c r="R1634" s="132"/>
    </row>
    <row r="1635" spans="1:22" ht="49.5" outlineLevel="1" x14ac:dyDescent="0.25">
      <c r="A1635" s="825"/>
      <c r="B1635" s="826" t="s">
        <v>579</v>
      </c>
      <c r="C1635" s="356" t="s">
        <v>37</v>
      </c>
      <c r="D1635" s="357">
        <v>37607.74</v>
      </c>
      <c r="E1635" s="361" t="s">
        <v>576</v>
      </c>
      <c r="F1635" s="358" t="s">
        <v>586</v>
      </c>
      <c r="G1635" s="359">
        <v>37607.74</v>
      </c>
      <c r="H1635" s="360">
        <v>42429</v>
      </c>
      <c r="I1635" s="360">
        <v>42593</v>
      </c>
      <c r="J1635" s="361">
        <v>37607.74</v>
      </c>
      <c r="K1635" s="361">
        <v>37607.74</v>
      </c>
      <c r="L1635" s="360"/>
      <c r="M1635" s="361"/>
      <c r="N1635" s="362"/>
      <c r="O1635" s="466" t="s">
        <v>733</v>
      </c>
      <c r="P1635" s="176"/>
      <c r="Q1635" s="177"/>
      <c r="R1635" s="132"/>
    </row>
    <row r="1636" spans="1:22" ht="17.25" outlineLevel="1" thickBot="1" x14ac:dyDescent="0.3">
      <c r="A1636" s="1006" t="s">
        <v>628</v>
      </c>
      <c r="B1636" s="1007"/>
      <c r="C1636" s="691"/>
      <c r="D1636" s="480">
        <f>SUM(D1635:D1635)</f>
        <v>37607.74</v>
      </c>
      <c r="E1636" s="239"/>
      <c r="F1636" s="239"/>
      <c r="G1636" s="693">
        <f>SUM(G1635:G1635)</f>
        <v>37607.74</v>
      </c>
      <c r="H1636" s="239"/>
      <c r="I1636" s="321"/>
      <c r="J1636" s="480">
        <f>SUM(J1635:J1635)</f>
        <v>37607.74</v>
      </c>
      <c r="K1636" s="480">
        <f>SUM(K1635:K1635)</f>
        <v>37607.74</v>
      </c>
      <c r="L1636" s="482"/>
      <c r="M1636" s="480"/>
      <c r="N1636" s="421" t="e">
        <f>AVERAGE(N1635:N1635)</f>
        <v>#DIV/0!</v>
      </c>
      <c r="O1636" s="694"/>
      <c r="P1636" s="176"/>
      <c r="Q1636" s="177"/>
      <c r="R1636" s="132"/>
    </row>
    <row r="1637" spans="1:22" s="5" customFormat="1" ht="37.5" customHeight="1" x14ac:dyDescent="0.25">
      <c r="A1637" s="1069">
        <v>10</v>
      </c>
      <c r="B1637" s="1080" t="s">
        <v>580</v>
      </c>
      <c r="C1637" s="278" t="s">
        <v>500</v>
      </c>
      <c r="D1637" s="159">
        <v>8730694.9199999999</v>
      </c>
      <c r="E1637" s="197" t="s">
        <v>943</v>
      </c>
      <c r="F1637" s="197" t="s">
        <v>942</v>
      </c>
      <c r="G1637" s="160">
        <v>6774979.9699999997</v>
      </c>
      <c r="H1637" s="161">
        <v>42614</v>
      </c>
      <c r="I1637" s="161">
        <v>42670</v>
      </c>
      <c r="J1637" s="162">
        <v>8730694.9199999999</v>
      </c>
      <c r="K1637" s="162">
        <v>8730694.9199999999</v>
      </c>
      <c r="L1637" s="161">
        <v>42702</v>
      </c>
      <c r="M1637" s="199"/>
      <c r="N1637" s="200">
        <v>1</v>
      </c>
      <c r="O1637" s="699"/>
      <c r="P1637" s="176"/>
      <c r="Q1637" s="177" t="s">
        <v>1142</v>
      </c>
      <c r="R1637" s="168"/>
      <c r="S1637" s="19"/>
      <c r="T1637" s="19"/>
      <c r="U1637" s="19"/>
      <c r="V1637" s="19"/>
    </row>
    <row r="1638" spans="1:22" ht="49.5" outlineLevel="1" x14ac:dyDescent="0.25">
      <c r="A1638" s="1070"/>
      <c r="B1638" s="1064"/>
      <c r="C1638" s="356" t="s">
        <v>37</v>
      </c>
      <c r="D1638" s="357">
        <v>94407.679999999993</v>
      </c>
      <c r="E1638" s="361" t="s">
        <v>576</v>
      </c>
      <c r="F1638" s="358" t="s">
        <v>586</v>
      </c>
      <c r="G1638" s="359">
        <v>94407.679999999993</v>
      </c>
      <c r="H1638" s="360">
        <v>42429</v>
      </c>
      <c r="I1638" s="360">
        <v>42593</v>
      </c>
      <c r="J1638" s="361">
        <v>94407.679999999993</v>
      </c>
      <c r="K1638" s="361">
        <v>94407.679999999993</v>
      </c>
      <c r="L1638" s="360"/>
      <c r="M1638" s="361"/>
      <c r="N1638" s="362"/>
      <c r="O1638" s="466" t="s">
        <v>733</v>
      </c>
      <c r="P1638" s="176"/>
      <c r="Q1638" s="177"/>
      <c r="R1638" s="132"/>
    </row>
    <row r="1639" spans="1:22" ht="17.25" outlineLevel="1" thickBot="1" x14ac:dyDescent="0.3">
      <c r="A1639" s="1006" t="s">
        <v>628</v>
      </c>
      <c r="B1639" s="1007"/>
      <c r="C1639" s="691"/>
      <c r="D1639" s="480">
        <f>SUM(D1637:D1638)</f>
        <v>8825102.5999999996</v>
      </c>
      <c r="E1639" s="239"/>
      <c r="F1639" s="239"/>
      <c r="G1639" s="693">
        <f>SUM(G1637:G1638)</f>
        <v>6869387.6499999994</v>
      </c>
      <c r="H1639" s="239"/>
      <c r="I1639" s="321"/>
      <c r="J1639" s="480">
        <f>SUM(J1637:J1638)</f>
        <v>8825102.5999999996</v>
      </c>
      <c r="K1639" s="480">
        <f>SUM(K1637:K1638)</f>
        <v>8825102.5999999996</v>
      </c>
      <c r="L1639" s="482"/>
      <c r="M1639" s="480"/>
      <c r="N1639" s="421">
        <f>AVERAGE(N1637:N1638)</f>
        <v>1</v>
      </c>
      <c r="O1639" s="694"/>
      <c r="P1639" s="176"/>
      <c r="Q1639" s="177"/>
      <c r="R1639" s="132"/>
    </row>
    <row r="1640" spans="1:22" s="5" customFormat="1" ht="33" x14ac:dyDescent="0.25">
      <c r="A1640" s="1069">
        <v>11</v>
      </c>
      <c r="B1640" s="1080" t="s">
        <v>26</v>
      </c>
      <c r="C1640" s="695" t="s">
        <v>508</v>
      </c>
      <c r="D1640" s="696">
        <v>424750</v>
      </c>
      <c r="E1640" s="220" t="s">
        <v>862</v>
      </c>
      <c r="F1640" s="220" t="s">
        <v>1172</v>
      </c>
      <c r="G1640" s="698">
        <v>424750</v>
      </c>
      <c r="H1640" s="223">
        <v>42911</v>
      </c>
      <c r="I1640" s="224"/>
      <c r="J1640" s="225"/>
      <c r="K1640" s="225"/>
      <c r="L1640" s="226"/>
      <c r="M1640" s="225"/>
      <c r="N1640" s="376">
        <v>0</v>
      </c>
      <c r="O1640" s="699"/>
      <c r="P1640" s="176">
        <v>2017</v>
      </c>
      <c r="Q1640" s="177"/>
      <c r="R1640" s="168"/>
      <c r="S1640" s="19"/>
      <c r="T1640" s="19"/>
      <c r="U1640" s="19"/>
      <c r="V1640" s="19"/>
    </row>
    <row r="1641" spans="1:22" ht="49.5" outlineLevel="1" x14ac:dyDescent="0.25">
      <c r="A1641" s="1070"/>
      <c r="B1641" s="1064"/>
      <c r="C1641" s="356" t="s">
        <v>37</v>
      </c>
      <c r="D1641" s="357">
        <v>61521.48</v>
      </c>
      <c r="E1641" s="361" t="s">
        <v>576</v>
      </c>
      <c r="F1641" s="358" t="s">
        <v>586</v>
      </c>
      <c r="G1641" s="359">
        <v>61521.48</v>
      </c>
      <c r="H1641" s="360">
        <v>42429</v>
      </c>
      <c r="I1641" s="360"/>
      <c r="J1641" s="361"/>
      <c r="K1641" s="361"/>
      <c r="L1641" s="360"/>
      <c r="M1641" s="361"/>
      <c r="N1641" s="362"/>
      <c r="O1641" s="466" t="s">
        <v>733</v>
      </c>
      <c r="P1641" s="176"/>
      <c r="Q1641" s="177"/>
      <c r="R1641" s="132"/>
    </row>
    <row r="1642" spans="1:22" ht="17.25" outlineLevel="1" thickBot="1" x14ac:dyDescent="0.3">
      <c r="A1642" s="1010" t="s">
        <v>628</v>
      </c>
      <c r="B1642" s="1011"/>
      <c r="C1642" s="607"/>
      <c r="D1642" s="480">
        <f>SUM(D1640:D1641)</f>
        <v>486271.48</v>
      </c>
      <c r="E1642" s="247"/>
      <c r="F1642" s="247"/>
      <c r="G1642" s="693">
        <f>SUM(G1640:G1641)</f>
        <v>486271.48</v>
      </c>
      <c r="H1642" s="247"/>
      <c r="I1642" s="277"/>
      <c r="J1642" s="310"/>
      <c r="K1642" s="480">
        <f>SUM(K1640:K1641)</f>
        <v>0</v>
      </c>
      <c r="L1642" s="579"/>
      <c r="M1642" s="577"/>
      <c r="N1642" s="421">
        <f>AVERAGE(N1640:N1641)</f>
        <v>0</v>
      </c>
      <c r="O1642" s="707"/>
      <c r="P1642" s="176"/>
      <c r="Q1642" s="177"/>
      <c r="R1642" s="132"/>
    </row>
    <row r="1643" spans="1:22" s="5" customFormat="1" ht="33" x14ac:dyDescent="0.25">
      <c r="A1643" s="1069">
        <v>12</v>
      </c>
      <c r="B1643" s="1080" t="s">
        <v>354</v>
      </c>
      <c r="C1643" s="695" t="s">
        <v>500</v>
      </c>
      <c r="D1643" s="696">
        <v>5152502.38</v>
      </c>
      <c r="E1643" s="220" t="s">
        <v>1034</v>
      </c>
      <c r="F1643" s="220" t="s">
        <v>953</v>
      </c>
      <c r="G1643" s="698">
        <v>5152502.38</v>
      </c>
      <c r="H1643" s="223">
        <v>42617</v>
      </c>
      <c r="I1643" s="224"/>
      <c r="J1643" s="225"/>
      <c r="K1643" s="225"/>
      <c r="L1643" s="226"/>
      <c r="M1643" s="225"/>
      <c r="N1643" s="376">
        <v>0.9</v>
      </c>
      <c r="O1643" s="699"/>
      <c r="P1643" s="176"/>
      <c r="Q1643" s="201" t="s">
        <v>1114</v>
      </c>
      <c r="R1643" s="168"/>
      <c r="S1643" s="19"/>
      <c r="T1643" s="19"/>
      <c r="U1643" s="19"/>
      <c r="V1643" s="19"/>
    </row>
    <row r="1644" spans="1:22" ht="49.5" outlineLevel="1" x14ac:dyDescent="0.25">
      <c r="A1644" s="1070"/>
      <c r="B1644" s="1064"/>
      <c r="C1644" s="356" t="s">
        <v>37</v>
      </c>
      <c r="D1644" s="357">
        <v>100653.58</v>
      </c>
      <c r="E1644" s="361" t="s">
        <v>576</v>
      </c>
      <c r="F1644" s="358" t="s">
        <v>586</v>
      </c>
      <c r="G1644" s="359">
        <v>100653.58</v>
      </c>
      <c r="H1644" s="360">
        <v>42429</v>
      </c>
      <c r="I1644" s="360">
        <v>42593</v>
      </c>
      <c r="J1644" s="361">
        <v>100653.58</v>
      </c>
      <c r="K1644" s="361">
        <v>100653.58</v>
      </c>
      <c r="L1644" s="360"/>
      <c r="M1644" s="361"/>
      <c r="N1644" s="362"/>
      <c r="O1644" s="466" t="s">
        <v>733</v>
      </c>
      <c r="P1644" s="176"/>
      <c r="Q1644" s="177"/>
      <c r="R1644" s="132"/>
    </row>
    <row r="1645" spans="1:22" ht="17.25" outlineLevel="1" thickBot="1" x14ac:dyDescent="0.3">
      <c r="A1645" s="1006" t="s">
        <v>628</v>
      </c>
      <c r="B1645" s="1007"/>
      <c r="C1645" s="691"/>
      <c r="D1645" s="480">
        <f>SUM(D1643:D1644)</f>
        <v>5253155.96</v>
      </c>
      <c r="E1645" s="239"/>
      <c r="F1645" s="239"/>
      <c r="G1645" s="693">
        <f>SUM(G1643:G1644)</f>
        <v>5253155.96</v>
      </c>
      <c r="H1645" s="239"/>
      <c r="I1645" s="321"/>
      <c r="J1645" s="480">
        <f>SUM(J1643:J1644)</f>
        <v>100653.58</v>
      </c>
      <c r="K1645" s="480">
        <f>SUM(K1643:K1644)</f>
        <v>100653.58</v>
      </c>
      <c r="L1645" s="482"/>
      <c r="M1645" s="480"/>
      <c r="N1645" s="421">
        <f>AVERAGE(N1643:N1644)</f>
        <v>0.9</v>
      </c>
      <c r="O1645" s="694"/>
      <c r="P1645" s="176"/>
      <c r="Q1645" s="177"/>
      <c r="R1645" s="132"/>
    </row>
    <row r="1646" spans="1:22" s="5" customFormat="1" ht="33" x14ac:dyDescent="0.25">
      <c r="A1646" s="1069">
        <v>13</v>
      </c>
      <c r="B1646" s="1075" t="s">
        <v>339</v>
      </c>
      <c r="C1646" s="696" t="s">
        <v>501</v>
      </c>
      <c r="D1646" s="696">
        <v>13980000</v>
      </c>
      <c r="E1646" s="173" t="s">
        <v>1176</v>
      </c>
      <c r="F1646" s="432" t="s">
        <v>1021</v>
      </c>
      <c r="G1646" s="703">
        <v>12775649.630000001</v>
      </c>
      <c r="H1646" s="171">
        <v>42886</v>
      </c>
      <c r="I1646" s="224"/>
      <c r="J1646" s="225"/>
      <c r="K1646" s="225"/>
      <c r="L1646" s="226"/>
      <c r="M1646" s="225"/>
      <c r="N1646" s="376">
        <v>0</v>
      </c>
      <c r="O1646" s="736"/>
      <c r="P1646" s="176">
        <v>2017</v>
      </c>
      <c r="Q1646" s="177"/>
      <c r="R1646" s="168"/>
      <c r="S1646" s="19"/>
      <c r="T1646" s="19"/>
      <c r="U1646" s="19"/>
      <c r="V1646" s="19"/>
    </row>
    <row r="1647" spans="1:22" ht="49.5" outlineLevel="1" x14ac:dyDescent="0.25">
      <c r="A1647" s="1070"/>
      <c r="B1647" s="1076"/>
      <c r="C1647" s="356" t="s">
        <v>37</v>
      </c>
      <c r="D1647" s="357">
        <v>72342.75</v>
      </c>
      <c r="E1647" s="361" t="s">
        <v>576</v>
      </c>
      <c r="F1647" s="358" t="s">
        <v>586</v>
      </c>
      <c r="G1647" s="359">
        <v>72342.75</v>
      </c>
      <c r="H1647" s="360">
        <v>42429</v>
      </c>
      <c r="I1647" s="360">
        <v>42593</v>
      </c>
      <c r="J1647" s="361">
        <v>72342.75</v>
      </c>
      <c r="K1647" s="361">
        <v>72342.75</v>
      </c>
      <c r="L1647" s="360"/>
      <c r="M1647" s="361"/>
      <c r="N1647" s="362"/>
      <c r="O1647" s="466" t="s">
        <v>733</v>
      </c>
      <c r="P1647" s="176"/>
      <c r="Q1647" s="177"/>
      <c r="R1647" s="132"/>
    </row>
    <row r="1648" spans="1:22" ht="17.25" outlineLevel="1" thickBot="1" x14ac:dyDescent="0.3">
      <c r="A1648" s="1010" t="s">
        <v>628</v>
      </c>
      <c r="B1648" s="1011"/>
      <c r="C1648" s="607"/>
      <c r="D1648" s="480">
        <f>SUM(D1646:D1647)</f>
        <v>14052342.75</v>
      </c>
      <c r="E1648" s="247"/>
      <c r="F1648" s="247"/>
      <c r="G1648" s="693">
        <f>SUM(G1646:G1647)</f>
        <v>12847992.380000001</v>
      </c>
      <c r="H1648" s="247"/>
      <c r="I1648" s="277"/>
      <c r="J1648" s="480">
        <f>SUM(J1646:J1647)</f>
        <v>72342.75</v>
      </c>
      <c r="K1648" s="480">
        <f>SUM(K1646:K1647)</f>
        <v>72342.75</v>
      </c>
      <c r="L1648" s="579"/>
      <c r="M1648" s="577"/>
      <c r="N1648" s="421">
        <f>AVERAGE(N1646:N1647)</f>
        <v>0</v>
      </c>
      <c r="O1648" s="707"/>
      <c r="P1648" s="176"/>
      <c r="Q1648" s="177"/>
      <c r="R1648" s="132"/>
    </row>
    <row r="1649" spans="1:22" s="5" customFormat="1" ht="32.25" customHeight="1" x14ac:dyDescent="0.25">
      <c r="A1649" s="1069">
        <v>14</v>
      </c>
      <c r="B1649" s="1080" t="s">
        <v>344</v>
      </c>
      <c r="C1649" s="278" t="s">
        <v>500</v>
      </c>
      <c r="D1649" s="159">
        <v>8149602.6600000001</v>
      </c>
      <c r="E1649" s="197" t="s">
        <v>952</v>
      </c>
      <c r="F1649" s="197" t="s">
        <v>828</v>
      </c>
      <c r="G1649" s="160">
        <v>8149602.6600000001</v>
      </c>
      <c r="H1649" s="161">
        <v>42622</v>
      </c>
      <c r="I1649" s="161">
        <v>42641</v>
      </c>
      <c r="J1649" s="162">
        <v>6414441.0599999996</v>
      </c>
      <c r="K1649" s="162">
        <v>6414441.0599999996</v>
      </c>
      <c r="L1649" s="161">
        <v>42702</v>
      </c>
      <c r="M1649" s="199"/>
      <c r="N1649" s="200">
        <v>1</v>
      </c>
      <c r="O1649" s="699"/>
      <c r="P1649" s="176"/>
      <c r="Q1649" s="280" t="s">
        <v>1118</v>
      </c>
      <c r="R1649" s="168"/>
      <c r="S1649" s="19"/>
      <c r="T1649" s="19"/>
      <c r="U1649" s="19"/>
      <c r="V1649" s="19"/>
    </row>
    <row r="1650" spans="1:22" ht="49.5" outlineLevel="1" x14ac:dyDescent="0.25">
      <c r="A1650" s="1070"/>
      <c r="B1650" s="1064"/>
      <c r="C1650" s="356" t="s">
        <v>37</v>
      </c>
      <c r="D1650" s="357">
        <v>100388.31</v>
      </c>
      <c r="E1650" s="361" t="s">
        <v>576</v>
      </c>
      <c r="F1650" s="358" t="s">
        <v>586</v>
      </c>
      <c r="G1650" s="359">
        <v>100388.31</v>
      </c>
      <c r="H1650" s="360">
        <v>42429</v>
      </c>
      <c r="I1650" s="360">
        <v>42593</v>
      </c>
      <c r="J1650" s="361">
        <v>100388.31</v>
      </c>
      <c r="K1650" s="361">
        <v>100388.31</v>
      </c>
      <c r="L1650" s="360"/>
      <c r="M1650" s="361"/>
      <c r="N1650" s="362"/>
      <c r="O1650" s="466" t="s">
        <v>733</v>
      </c>
      <c r="P1650" s="176"/>
      <c r="Q1650" s="177"/>
      <c r="R1650" s="132"/>
    </row>
    <row r="1651" spans="1:22" ht="17.25" outlineLevel="1" thickBot="1" x14ac:dyDescent="0.3">
      <c r="A1651" s="1006" t="s">
        <v>628</v>
      </c>
      <c r="B1651" s="1007"/>
      <c r="C1651" s="691"/>
      <c r="D1651" s="480">
        <f>SUM(D1649:D1650)</f>
        <v>8249990.9699999997</v>
      </c>
      <c r="E1651" s="239"/>
      <c r="F1651" s="239"/>
      <c r="G1651" s="693">
        <f>SUM(G1649:G1650)</f>
        <v>8249990.9699999997</v>
      </c>
      <c r="H1651" s="239"/>
      <c r="I1651" s="321"/>
      <c r="J1651" s="480">
        <f>SUM(J1649:J1650)</f>
        <v>6514829.3699999992</v>
      </c>
      <c r="K1651" s="480">
        <f>SUM(K1649:K1650)</f>
        <v>6514829.3699999992</v>
      </c>
      <c r="L1651" s="482"/>
      <c r="M1651" s="480"/>
      <c r="N1651" s="421">
        <f>AVERAGE(N1649:N1650)</f>
        <v>1</v>
      </c>
      <c r="O1651" s="694"/>
      <c r="P1651" s="176"/>
      <c r="Q1651" s="177"/>
      <c r="R1651" s="132"/>
    </row>
    <row r="1652" spans="1:22" s="5" customFormat="1" ht="33.75" customHeight="1" x14ac:dyDescent="0.25">
      <c r="A1652" s="1069">
        <v>15</v>
      </c>
      <c r="B1652" s="1080" t="s">
        <v>355</v>
      </c>
      <c r="C1652" s="278" t="s">
        <v>500</v>
      </c>
      <c r="D1652" s="159">
        <v>7098698.6699999999</v>
      </c>
      <c r="E1652" s="197" t="s">
        <v>952</v>
      </c>
      <c r="F1652" s="197" t="s">
        <v>828</v>
      </c>
      <c r="G1652" s="160">
        <v>7098698.6699999999</v>
      </c>
      <c r="H1652" s="161">
        <v>42622</v>
      </c>
      <c r="I1652" s="161">
        <v>42641</v>
      </c>
      <c r="J1652" s="162">
        <v>5939730.5999999996</v>
      </c>
      <c r="K1652" s="162">
        <v>5939730.5999999996</v>
      </c>
      <c r="L1652" s="198"/>
      <c r="M1652" s="199"/>
      <c r="N1652" s="200">
        <v>1</v>
      </c>
      <c r="O1652" s="699"/>
      <c r="P1652" s="176"/>
      <c r="Q1652" s="280" t="s">
        <v>1118</v>
      </c>
      <c r="R1652" s="168"/>
      <c r="S1652" s="19"/>
      <c r="T1652" s="19"/>
      <c r="U1652" s="19"/>
      <c r="V1652" s="19"/>
    </row>
    <row r="1653" spans="1:22" ht="49.5" outlineLevel="1" x14ac:dyDescent="0.25">
      <c r="A1653" s="1070"/>
      <c r="B1653" s="1064"/>
      <c r="C1653" s="356" t="s">
        <v>37</v>
      </c>
      <c r="D1653" s="357">
        <v>99260.37</v>
      </c>
      <c r="E1653" s="361" t="s">
        <v>576</v>
      </c>
      <c r="F1653" s="358" t="s">
        <v>586</v>
      </c>
      <c r="G1653" s="359">
        <v>99260.37</v>
      </c>
      <c r="H1653" s="360">
        <v>42429</v>
      </c>
      <c r="I1653" s="360">
        <v>42593</v>
      </c>
      <c r="J1653" s="361">
        <v>99260.37</v>
      </c>
      <c r="K1653" s="361">
        <v>99260.37</v>
      </c>
      <c r="L1653" s="360"/>
      <c r="M1653" s="361"/>
      <c r="N1653" s="362"/>
      <c r="O1653" s="466" t="s">
        <v>733</v>
      </c>
      <c r="P1653" s="176"/>
      <c r="Q1653" s="177"/>
      <c r="R1653" s="132"/>
    </row>
    <row r="1654" spans="1:22" ht="17.25" outlineLevel="1" thickBot="1" x14ac:dyDescent="0.3">
      <c r="A1654" s="1006" t="s">
        <v>628</v>
      </c>
      <c r="B1654" s="1007"/>
      <c r="C1654" s="691"/>
      <c r="D1654" s="480">
        <f>SUM(D1652:D1653)</f>
        <v>7197959.04</v>
      </c>
      <c r="E1654" s="239"/>
      <c r="F1654" s="239"/>
      <c r="G1654" s="693">
        <f>SUM(G1652:G1653)</f>
        <v>7197959.04</v>
      </c>
      <c r="H1654" s="239"/>
      <c r="I1654" s="321"/>
      <c r="J1654" s="480">
        <f>SUM(J1652:J1653)</f>
        <v>6038990.9699999997</v>
      </c>
      <c r="K1654" s="480">
        <f>SUM(K1652:K1653)</f>
        <v>6038990.9699999997</v>
      </c>
      <c r="L1654" s="482"/>
      <c r="M1654" s="480"/>
      <c r="N1654" s="421">
        <f>AVERAGE(N1652:N1653)</f>
        <v>1</v>
      </c>
      <c r="O1654" s="694"/>
      <c r="P1654" s="176"/>
      <c r="Q1654" s="177"/>
      <c r="R1654" s="132"/>
    </row>
    <row r="1655" spans="1:22" s="5" customFormat="1" ht="33" x14ac:dyDescent="0.25">
      <c r="A1655" s="1069">
        <v>16</v>
      </c>
      <c r="B1655" s="1080" t="s">
        <v>27</v>
      </c>
      <c r="C1655" s="695" t="s">
        <v>508</v>
      </c>
      <c r="D1655" s="696">
        <v>424750</v>
      </c>
      <c r="E1655" s="220" t="s">
        <v>862</v>
      </c>
      <c r="F1655" s="220" t="s">
        <v>1172</v>
      </c>
      <c r="G1655" s="698">
        <v>424750</v>
      </c>
      <c r="H1655" s="223">
        <v>42911</v>
      </c>
      <c r="I1655" s="224"/>
      <c r="J1655" s="225"/>
      <c r="K1655" s="225"/>
      <c r="L1655" s="226"/>
      <c r="M1655" s="225"/>
      <c r="N1655" s="376">
        <v>0</v>
      </c>
      <c r="O1655" s="699"/>
      <c r="P1655" s="176">
        <v>2017</v>
      </c>
      <c r="Q1655" s="177"/>
      <c r="R1655" s="168"/>
      <c r="S1655" s="19"/>
      <c r="T1655" s="19"/>
      <c r="U1655" s="19"/>
      <c r="V1655" s="19"/>
    </row>
    <row r="1656" spans="1:22" ht="49.5" outlineLevel="1" x14ac:dyDescent="0.25">
      <c r="A1656" s="1070"/>
      <c r="B1656" s="1064"/>
      <c r="C1656" s="356" t="s">
        <v>37</v>
      </c>
      <c r="D1656" s="357">
        <v>51267.91</v>
      </c>
      <c r="E1656" s="361" t="s">
        <v>576</v>
      </c>
      <c r="F1656" s="358" t="s">
        <v>586</v>
      </c>
      <c r="G1656" s="359">
        <v>51267.91</v>
      </c>
      <c r="H1656" s="360">
        <v>42429</v>
      </c>
      <c r="I1656" s="360"/>
      <c r="J1656" s="361"/>
      <c r="K1656" s="361"/>
      <c r="L1656" s="360"/>
      <c r="M1656" s="361"/>
      <c r="N1656" s="362"/>
      <c r="O1656" s="466" t="s">
        <v>733</v>
      </c>
      <c r="P1656" s="176"/>
      <c r="Q1656" s="177"/>
      <c r="R1656" s="132"/>
    </row>
    <row r="1657" spans="1:22" ht="17.25" outlineLevel="1" thickBot="1" x14ac:dyDescent="0.3">
      <c r="A1657" s="1006" t="s">
        <v>628</v>
      </c>
      <c r="B1657" s="1007"/>
      <c r="C1657" s="691"/>
      <c r="D1657" s="480">
        <f>SUM(D1655:D1656)</f>
        <v>476017.91000000003</v>
      </c>
      <c r="E1657" s="239"/>
      <c r="F1657" s="239"/>
      <c r="G1657" s="693">
        <f>SUM(G1655:G1656)</f>
        <v>476017.91000000003</v>
      </c>
      <c r="H1657" s="239"/>
      <c r="I1657" s="321"/>
      <c r="J1657" s="677"/>
      <c r="K1657" s="480">
        <f>SUM(K1655:K1656)</f>
        <v>0</v>
      </c>
      <c r="L1657" s="482"/>
      <c r="M1657" s="480"/>
      <c r="N1657" s="421">
        <f>AVERAGE(N1655:N1656)</f>
        <v>0</v>
      </c>
      <c r="O1657" s="694"/>
      <c r="P1657" s="176"/>
      <c r="Q1657" s="177"/>
      <c r="R1657" s="132"/>
    </row>
    <row r="1658" spans="1:22" s="5" customFormat="1" ht="33" x14ac:dyDescent="0.25">
      <c r="A1658" s="1069">
        <v>17</v>
      </c>
      <c r="B1658" s="1080" t="s">
        <v>28</v>
      </c>
      <c r="C1658" s="695" t="s">
        <v>508</v>
      </c>
      <c r="D1658" s="696">
        <v>424750</v>
      </c>
      <c r="E1658" s="220" t="s">
        <v>862</v>
      </c>
      <c r="F1658" s="220" t="s">
        <v>1172</v>
      </c>
      <c r="G1658" s="698">
        <v>424750</v>
      </c>
      <c r="H1658" s="223">
        <v>42911</v>
      </c>
      <c r="I1658" s="224"/>
      <c r="J1658" s="225"/>
      <c r="K1658" s="225"/>
      <c r="L1658" s="226"/>
      <c r="M1658" s="225"/>
      <c r="N1658" s="376">
        <v>0</v>
      </c>
      <c r="O1658" s="699"/>
      <c r="P1658" s="176">
        <v>2017</v>
      </c>
      <c r="Q1658" s="177"/>
      <c r="R1658" s="168"/>
      <c r="S1658" s="19"/>
      <c r="T1658" s="19"/>
      <c r="U1658" s="19"/>
      <c r="V1658" s="19"/>
    </row>
    <row r="1659" spans="1:22" ht="49.5" outlineLevel="1" x14ac:dyDescent="0.25">
      <c r="A1659" s="1070"/>
      <c r="B1659" s="1064"/>
      <c r="C1659" s="356" t="s">
        <v>37</v>
      </c>
      <c r="D1659" s="357">
        <v>51943.1</v>
      </c>
      <c r="E1659" s="361" t="s">
        <v>576</v>
      </c>
      <c r="F1659" s="358" t="s">
        <v>586</v>
      </c>
      <c r="G1659" s="359">
        <v>51943.1</v>
      </c>
      <c r="H1659" s="360">
        <v>42429</v>
      </c>
      <c r="I1659" s="360"/>
      <c r="J1659" s="361"/>
      <c r="K1659" s="361"/>
      <c r="L1659" s="360"/>
      <c r="M1659" s="361"/>
      <c r="N1659" s="362"/>
      <c r="O1659" s="466" t="s">
        <v>733</v>
      </c>
      <c r="P1659" s="176"/>
      <c r="Q1659" s="177"/>
      <c r="R1659" s="132"/>
    </row>
    <row r="1660" spans="1:22" ht="17.25" outlineLevel="1" thickBot="1" x14ac:dyDescent="0.3">
      <c r="A1660" s="1010" t="s">
        <v>628</v>
      </c>
      <c r="B1660" s="1011"/>
      <c r="C1660" s="607"/>
      <c r="D1660" s="480">
        <f>SUM(D1658:D1659)</f>
        <v>476693.1</v>
      </c>
      <c r="E1660" s="247"/>
      <c r="F1660" s="247"/>
      <c r="G1660" s="693">
        <f>SUM(G1658:G1659)</f>
        <v>476693.1</v>
      </c>
      <c r="H1660" s="247"/>
      <c r="I1660" s="277"/>
      <c r="J1660" s="310"/>
      <c r="K1660" s="480">
        <f>SUM(K1658:K1659)</f>
        <v>0</v>
      </c>
      <c r="L1660" s="579"/>
      <c r="M1660" s="577"/>
      <c r="N1660" s="421">
        <f>AVERAGE(N1658:N1659)</f>
        <v>0</v>
      </c>
      <c r="O1660" s="707"/>
      <c r="P1660" s="176"/>
      <c r="Q1660" s="177"/>
      <c r="R1660" s="132"/>
    </row>
    <row r="1661" spans="1:22" s="5" customFormat="1" ht="33" x14ac:dyDescent="0.25">
      <c r="A1661" s="1069">
        <v>18</v>
      </c>
      <c r="B1661" s="1080" t="s">
        <v>29</v>
      </c>
      <c r="C1661" s="695" t="s">
        <v>508</v>
      </c>
      <c r="D1661" s="696">
        <v>424750</v>
      </c>
      <c r="E1661" s="220" t="s">
        <v>862</v>
      </c>
      <c r="F1661" s="220" t="s">
        <v>1172</v>
      </c>
      <c r="G1661" s="698">
        <v>424750</v>
      </c>
      <c r="H1661" s="223">
        <v>42911</v>
      </c>
      <c r="I1661" s="224"/>
      <c r="J1661" s="225"/>
      <c r="K1661" s="225"/>
      <c r="L1661" s="226"/>
      <c r="M1661" s="225"/>
      <c r="N1661" s="376">
        <v>0</v>
      </c>
      <c r="O1661" s="699"/>
      <c r="P1661" s="176">
        <v>2017</v>
      </c>
      <c r="Q1661" s="177"/>
      <c r="R1661" s="168"/>
      <c r="S1661" s="19"/>
      <c r="T1661" s="19"/>
      <c r="U1661" s="19"/>
      <c r="V1661" s="19"/>
    </row>
    <row r="1662" spans="1:22" ht="49.5" outlineLevel="1" x14ac:dyDescent="0.25">
      <c r="A1662" s="1070"/>
      <c r="B1662" s="1064"/>
      <c r="C1662" s="356" t="s">
        <v>37</v>
      </c>
      <c r="D1662" s="357">
        <v>51267.91</v>
      </c>
      <c r="E1662" s="361" t="s">
        <v>576</v>
      </c>
      <c r="F1662" s="358" t="s">
        <v>586</v>
      </c>
      <c r="G1662" s="359">
        <v>51267.91</v>
      </c>
      <c r="H1662" s="360">
        <v>42429</v>
      </c>
      <c r="I1662" s="360"/>
      <c r="J1662" s="361"/>
      <c r="K1662" s="361"/>
      <c r="L1662" s="360"/>
      <c r="M1662" s="361"/>
      <c r="N1662" s="362"/>
      <c r="O1662" s="466" t="s">
        <v>733</v>
      </c>
      <c r="P1662" s="176"/>
      <c r="Q1662" s="177"/>
      <c r="R1662" s="132"/>
    </row>
    <row r="1663" spans="1:22" ht="17.25" outlineLevel="1" thickBot="1" x14ac:dyDescent="0.3">
      <c r="A1663" s="1006" t="s">
        <v>628</v>
      </c>
      <c r="B1663" s="1007"/>
      <c r="C1663" s="691"/>
      <c r="D1663" s="480">
        <f>SUM(D1661:D1662)</f>
        <v>476017.91000000003</v>
      </c>
      <c r="E1663" s="239"/>
      <c r="F1663" s="239"/>
      <c r="G1663" s="693">
        <f>SUM(G1661:G1662)</f>
        <v>476017.91000000003</v>
      </c>
      <c r="H1663" s="239"/>
      <c r="I1663" s="321"/>
      <c r="J1663" s="677"/>
      <c r="K1663" s="480">
        <f>SUM(K1661:K1662)</f>
        <v>0</v>
      </c>
      <c r="L1663" s="482"/>
      <c r="M1663" s="480"/>
      <c r="N1663" s="421">
        <f>AVERAGE(N1661:N1662)</f>
        <v>0</v>
      </c>
      <c r="O1663" s="694"/>
      <c r="P1663" s="176"/>
      <c r="Q1663" s="177"/>
      <c r="R1663" s="132"/>
    </row>
    <row r="1664" spans="1:22" s="5" customFormat="1" ht="33" x14ac:dyDescent="0.25">
      <c r="A1664" s="1069">
        <v>19</v>
      </c>
      <c r="B1664" s="1080" t="s">
        <v>345</v>
      </c>
      <c r="C1664" s="278" t="s">
        <v>500</v>
      </c>
      <c r="D1664" s="159">
        <v>6260776.7400000002</v>
      </c>
      <c r="E1664" s="197" t="s">
        <v>943</v>
      </c>
      <c r="F1664" s="197" t="s">
        <v>942</v>
      </c>
      <c r="G1664" s="160">
        <v>8616460.0899999999</v>
      </c>
      <c r="H1664" s="161">
        <v>42614</v>
      </c>
      <c r="I1664" s="161">
        <v>42670</v>
      </c>
      <c r="J1664" s="162">
        <v>6260776.7400000002</v>
      </c>
      <c r="K1664" s="162">
        <v>6260776.7400000002</v>
      </c>
      <c r="L1664" s="161">
        <v>42697</v>
      </c>
      <c r="M1664" s="199"/>
      <c r="N1664" s="200">
        <v>1</v>
      </c>
      <c r="O1664" s="699"/>
      <c r="P1664" s="176"/>
      <c r="Q1664" s="201" t="s">
        <v>1121</v>
      </c>
      <c r="R1664" s="168"/>
      <c r="S1664" s="19"/>
      <c r="T1664" s="19"/>
      <c r="U1664" s="19"/>
      <c r="V1664" s="19"/>
    </row>
    <row r="1665" spans="1:22" ht="49.5" outlineLevel="1" x14ac:dyDescent="0.25">
      <c r="A1665" s="1070"/>
      <c r="B1665" s="1064"/>
      <c r="C1665" s="356" t="s">
        <v>37</v>
      </c>
      <c r="D1665" s="357">
        <v>96588.26</v>
      </c>
      <c r="E1665" s="361" t="s">
        <v>576</v>
      </c>
      <c r="F1665" s="358" t="s">
        <v>586</v>
      </c>
      <c r="G1665" s="359">
        <v>96588.26</v>
      </c>
      <c r="H1665" s="360">
        <v>42429</v>
      </c>
      <c r="I1665" s="360">
        <v>42593</v>
      </c>
      <c r="J1665" s="361">
        <v>96588.26</v>
      </c>
      <c r="K1665" s="361">
        <v>96588.26</v>
      </c>
      <c r="L1665" s="360"/>
      <c r="M1665" s="361"/>
      <c r="N1665" s="362"/>
      <c r="O1665" s="466" t="s">
        <v>733</v>
      </c>
      <c r="P1665" s="176"/>
      <c r="Q1665" s="177"/>
      <c r="R1665" s="132"/>
    </row>
    <row r="1666" spans="1:22" ht="17.25" outlineLevel="1" thickBot="1" x14ac:dyDescent="0.3">
      <c r="A1666" s="1006" t="s">
        <v>628</v>
      </c>
      <c r="B1666" s="1007"/>
      <c r="C1666" s="691"/>
      <c r="D1666" s="480">
        <f>SUM(D1664:D1665)</f>
        <v>6357365</v>
      </c>
      <c r="E1666" s="239"/>
      <c r="F1666" s="239"/>
      <c r="G1666" s="693">
        <f>SUM(G1664:G1665)</f>
        <v>8713048.3499999996</v>
      </c>
      <c r="H1666" s="239"/>
      <c r="I1666" s="321"/>
      <c r="J1666" s="480">
        <f>SUM(J1664:J1665)</f>
        <v>6357365</v>
      </c>
      <c r="K1666" s="480">
        <f>SUM(K1664:K1665)</f>
        <v>6357365</v>
      </c>
      <c r="L1666" s="482"/>
      <c r="M1666" s="480"/>
      <c r="N1666" s="421">
        <f>AVERAGE(N1664:N1665)</f>
        <v>1</v>
      </c>
      <c r="O1666" s="694"/>
      <c r="P1666" s="176"/>
      <c r="Q1666" s="177"/>
      <c r="R1666" s="132"/>
    </row>
    <row r="1667" spans="1:22" s="5" customFormat="1" ht="33" x14ac:dyDescent="0.25">
      <c r="A1667" s="1069">
        <v>20</v>
      </c>
      <c r="B1667" s="1080" t="s">
        <v>581</v>
      </c>
      <c r="C1667" s="278" t="s">
        <v>500</v>
      </c>
      <c r="D1667" s="159">
        <v>6243761.1399999997</v>
      </c>
      <c r="E1667" s="197" t="s">
        <v>943</v>
      </c>
      <c r="F1667" s="197" t="s">
        <v>942</v>
      </c>
      <c r="G1667" s="160">
        <v>8616460.0899999999</v>
      </c>
      <c r="H1667" s="161">
        <v>42614</v>
      </c>
      <c r="I1667" s="161">
        <v>42628</v>
      </c>
      <c r="J1667" s="477">
        <v>6243761.1399999997</v>
      </c>
      <c r="K1667" s="477">
        <v>6243761.1399999997</v>
      </c>
      <c r="L1667" s="198"/>
      <c r="M1667" s="199"/>
      <c r="N1667" s="200">
        <v>1</v>
      </c>
      <c r="O1667" s="699"/>
      <c r="P1667" s="176"/>
      <c r="Q1667" s="177"/>
      <c r="R1667" s="168"/>
      <c r="S1667" s="19"/>
      <c r="T1667" s="19"/>
      <c r="U1667" s="19"/>
      <c r="V1667" s="19"/>
    </row>
    <row r="1668" spans="1:22" ht="49.5" outlineLevel="1" x14ac:dyDescent="0.25">
      <c r="A1668" s="1070"/>
      <c r="B1668" s="1064"/>
      <c r="C1668" s="356" t="s">
        <v>37</v>
      </c>
      <c r="D1668" s="357">
        <v>97528.94</v>
      </c>
      <c r="E1668" s="361" t="s">
        <v>576</v>
      </c>
      <c r="F1668" s="358" t="s">
        <v>586</v>
      </c>
      <c r="G1668" s="359">
        <v>97528.94</v>
      </c>
      <c r="H1668" s="360">
        <v>42429</v>
      </c>
      <c r="I1668" s="360">
        <v>42593</v>
      </c>
      <c r="J1668" s="361">
        <v>97528.94</v>
      </c>
      <c r="K1668" s="361">
        <v>97528.94</v>
      </c>
      <c r="L1668" s="360"/>
      <c r="M1668" s="361"/>
      <c r="N1668" s="362"/>
      <c r="O1668" s="466" t="s">
        <v>733</v>
      </c>
      <c r="P1668" s="176"/>
      <c r="Q1668" s="177"/>
      <c r="R1668" s="132"/>
    </row>
    <row r="1669" spans="1:22" ht="17.25" outlineLevel="1" thickBot="1" x14ac:dyDescent="0.3">
      <c r="A1669" s="1010" t="s">
        <v>628</v>
      </c>
      <c r="B1669" s="1011"/>
      <c r="C1669" s="607"/>
      <c r="D1669" s="480">
        <f>SUM(D1667:D1668)</f>
        <v>6341290.0800000001</v>
      </c>
      <c r="E1669" s="247"/>
      <c r="F1669" s="247"/>
      <c r="G1669" s="693">
        <f>SUM(G1667:G1668)</f>
        <v>8713989.0299999993</v>
      </c>
      <c r="H1669" s="247"/>
      <c r="I1669" s="277"/>
      <c r="J1669" s="480">
        <f>SUM(J1667:J1668)</f>
        <v>6341290.0800000001</v>
      </c>
      <c r="K1669" s="480">
        <f>SUM(K1667:K1668)</f>
        <v>6341290.0800000001</v>
      </c>
      <c r="L1669" s="579"/>
      <c r="M1669" s="577"/>
      <c r="N1669" s="421">
        <f>AVERAGE(N1667:N1668)</f>
        <v>1</v>
      </c>
      <c r="O1669" s="707"/>
      <c r="P1669" s="176"/>
      <c r="Q1669" s="177"/>
      <c r="R1669" s="132"/>
    </row>
    <row r="1670" spans="1:22" s="5" customFormat="1" ht="33" x14ac:dyDescent="0.25">
      <c r="A1670" s="1069">
        <v>21</v>
      </c>
      <c r="B1670" s="1080" t="s">
        <v>582</v>
      </c>
      <c r="C1670" s="278" t="s">
        <v>34</v>
      </c>
      <c r="D1670" s="159">
        <v>11897420.800000001</v>
      </c>
      <c r="E1670" s="197" t="s">
        <v>1053</v>
      </c>
      <c r="F1670" s="197" t="s">
        <v>830</v>
      </c>
      <c r="G1670" s="160">
        <v>11897420.800000001</v>
      </c>
      <c r="H1670" s="161">
        <v>42795</v>
      </c>
      <c r="I1670" s="161">
        <v>42732</v>
      </c>
      <c r="J1670" s="162">
        <v>8463877.6500000004</v>
      </c>
      <c r="K1670" s="162">
        <v>8463877.6500000004</v>
      </c>
      <c r="L1670" s="161">
        <v>42734</v>
      </c>
      <c r="M1670" s="199"/>
      <c r="N1670" s="376">
        <v>0.9</v>
      </c>
      <c r="O1670" s="699"/>
      <c r="P1670" s="176"/>
      <c r="Q1670" s="201" t="s">
        <v>1114</v>
      </c>
      <c r="R1670" s="168"/>
      <c r="S1670" s="19"/>
      <c r="T1670" s="19"/>
      <c r="U1670" s="19"/>
      <c r="V1670" s="19"/>
    </row>
    <row r="1671" spans="1:22" s="80" customFormat="1" ht="49.5" x14ac:dyDescent="0.25">
      <c r="A1671" s="1082"/>
      <c r="B1671" s="1088"/>
      <c r="C1671" s="827" t="s">
        <v>35</v>
      </c>
      <c r="D1671" s="575">
        <v>851274.42</v>
      </c>
      <c r="E1671" s="173" t="s">
        <v>1149</v>
      </c>
      <c r="F1671" s="432" t="s">
        <v>828</v>
      </c>
      <c r="G1671" s="828"/>
      <c r="H1671" s="179">
        <v>42795</v>
      </c>
      <c r="I1671" s="543"/>
      <c r="J1671" s="544"/>
      <c r="K1671" s="544"/>
      <c r="L1671" s="545"/>
      <c r="M1671" s="544"/>
      <c r="N1671" s="404">
        <v>0.95</v>
      </c>
      <c r="O1671" s="829"/>
      <c r="P1671" s="176"/>
      <c r="Q1671" s="280" t="s">
        <v>1118</v>
      </c>
      <c r="R1671" s="168"/>
      <c r="S1671" s="19"/>
      <c r="T1671" s="19"/>
      <c r="U1671" s="19"/>
      <c r="V1671" s="19"/>
    </row>
    <row r="1672" spans="1:22" ht="49.5" outlineLevel="1" x14ac:dyDescent="0.25">
      <c r="A1672" s="1070"/>
      <c r="B1672" s="1064"/>
      <c r="C1672" s="281" t="s">
        <v>36</v>
      </c>
      <c r="D1672" s="208">
        <v>882251.64</v>
      </c>
      <c r="E1672" s="163" t="s">
        <v>1149</v>
      </c>
      <c r="F1672" s="253" t="s">
        <v>828</v>
      </c>
      <c r="G1672" s="209">
        <v>882251.64</v>
      </c>
      <c r="H1672" s="210">
        <v>42598</v>
      </c>
      <c r="I1672" s="210">
        <v>42641</v>
      </c>
      <c r="J1672" s="163">
        <v>1204848.44</v>
      </c>
      <c r="K1672" s="163">
        <v>1204848.44</v>
      </c>
      <c r="L1672" s="210">
        <v>42703</v>
      </c>
      <c r="M1672" s="163"/>
      <c r="N1672" s="213">
        <v>1</v>
      </c>
      <c r="O1672" s="704"/>
      <c r="P1672" s="176"/>
      <c r="Q1672" s="280" t="s">
        <v>1118</v>
      </c>
      <c r="R1672" s="132"/>
    </row>
    <row r="1673" spans="1:22" ht="49.5" outlineLevel="1" x14ac:dyDescent="0.25">
      <c r="A1673" s="1070"/>
      <c r="B1673" s="1064"/>
      <c r="C1673" s="356" t="s">
        <v>37</v>
      </c>
      <c r="D1673" s="357">
        <v>110086.11</v>
      </c>
      <c r="E1673" s="361" t="s">
        <v>576</v>
      </c>
      <c r="F1673" s="358" t="s">
        <v>586</v>
      </c>
      <c r="G1673" s="359">
        <v>110086.11</v>
      </c>
      <c r="H1673" s="360">
        <v>42429</v>
      </c>
      <c r="I1673" s="360">
        <v>42593</v>
      </c>
      <c r="J1673" s="361">
        <v>110086.11</v>
      </c>
      <c r="K1673" s="361">
        <v>110086.11</v>
      </c>
      <c r="L1673" s="360"/>
      <c r="M1673" s="361"/>
      <c r="N1673" s="362"/>
      <c r="O1673" s="466" t="s">
        <v>733</v>
      </c>
      <c r="P1673" s="176"/>
      <c r="Q1673" s="177"/>
      <c r="R1673" s="132"/>
    </row>
    <row r="1674" spans="1:22" ht="17.25" outlineLevel="1" thickBot="1" x14ac:dyDescent="0.3">
      <c r="A1674" s="1006" t="s">
        <v>628</v>
      </c>
      <c r="B1674" s="1007"/>
      <c r="C1674" s="691"/>
      <c r="D1674" s="480">
        <f>SUM(D1670:D1673)</f>
        <v>13741032.970000001</v>
      </c>
      <c r="E1674" s="239"/>
      <c r="F1674" s="239"/>
      <c r="G1674" s="693">
        <f>SUM(G1670:G1673)</f>
        <v>12889758.550000001</v>
      </c>
      <c r="H1674" s="239"/>
      <c r="I1674" s="321"/>
      <c r="J1674" s="480">
        <f>SUM(J1670:J1673)</f>
        <v>9778812.1999999993</v>
      </c>
      <c r="K1674" s="480">
        <f>SUM(K1670:K1673)</f>
        <v>9778812.1999999993</v>
      </c>
      <c r="L1674" s="482"/>
      <c r="M1674" s="480"/>
      <c r="N1674" s="421">
        <f>AVERAGE(N1670:N1673)</f>
        <v>0.95000000000000007</v>
      </c>
      <c r="O1674" s="694"/>
      <c r="P1674" s="176"/>
      <c r="Q1674" s="177"/>
      <c r="R1674" s="132"/>
    </row>
    <row r="1675" spans="1:22" s="5" customFormat="1" ht="33" x14ac:dyDescent="0.25">
      <c r="A1675" s="1069">
        <v>22</v>
      </c>
      <c r="B1675" s="1080" t="s">
        <v>346</v>
      </c>
      <c r="C1675" s="278" t="s">
        <v>500</v>
      </c>
      <c r="D1675" s="159">
        <v>6762753.46</v>
      </c>
      <c r="E1675" s="197" t="s">
        <v>943</v>
      </c>
      <c r="F1675" s="197" t="s">
        <v>942</v>
      </c>
      <c r="G1675" s="160">
        <v>8616460.0899999999</v>
      </c>
      <c r="H1675" s="161">
        <v>42614</v>
      </c>
      <c r="I1675" s="161">
        <v>42664</v>
      </c>
      <c r="J1675" s="162">
        <v>6762753.46</v>
      </c>
      <c r="K1675" s="162">
        <v>6762753.46</v>
      </c>
      <c r="L1675" s="161">
        <v>42697</v>
      </c>
      <c r="M1675" s="199"/>
      <c r="N1675" s="200">
        <v>1</v>
      </c>
      <c r="O1675" s="699"/>
      <c r="P1675" s="176"/>
      <c r="Q1675" s="201" t="s">
        <v>1121</v>
      </c>
      <c r="R1675" s="168"/>
      <c r="S1675" s="19"/>
      <c r="T1675" s="19"/>
      <c r="U1675" s="19"/>
      <c r="V1675" s="19"/>
    </row>
    <row r="1676" spans="1:22" ht="49.5" outlineLevel="1" x14ac:dyDescent="0.25">
      <c r="A1676" s="1070"/>
      <c r="B1676" s="1064"/>
      <c r="C1676" s="356" t="s">
        <v>37</v>
      </c>
      <c r="D1676" s="357">
        <v>72266.69</v>
      </c>
      <c r="E1676" s="361" t="s">
        <v>576</v>
      </c>
      <c r="F1676" s="358" t="s">
        <v>586</v>
      </c>
      <c r="G1676" s="359">
        <v>72266.69</v>
      </c>
      <c r="H1676" s="360">
        <v>42429</v>
      </c>
      <c r="I1676" s="360">
        <v>42593</v>
      </c>
      <c r="J1676" s="361">
        <v>72266.69</v>
      </c>
      <c r="K1676" s="361">
        <v>72266.69</v>
      </c>
      <c r="L1676" s="360"/>
      <c r="M1676" s="361"/>
      <c r="N1676" s="362"/>
      <c r="O1676" s="466" t="s">
        <v>733</v>
      </c>
      <c r="P1676" s="176"/>
      <c r="Q1676" s="177"/>
      <c r="R1676" s="132"/>
    </row>
    <row r="1677" spans="1:22" ht="17.25" outlineLevel="1" thickBot="1" x14ac:dyDescent="0.3">
      <c r="A1677" s="1006" t="s">
        <v>628</v>
      </c>
      <c r="B1677" s="1007"/>
      <c r="C1677" s="691"/>
      <c r="D1677" s="480">
        <f>SUM(D1675:D1676)</f>
        <v>6835020.1500000004</v>
      </c>
      <c r="E1677" s="239"/>
      <c r="F1677" s="239"/>
      <c r="G1677" s="693">
        <f>SUM(G1675:G1676)</f>
        <v>8688726.7799999993</v>
      </c>
      <c r="H1677" s="239"/>
      <c r="I1677" s="321"/>
      <c r="J1677" s="480">
        <f>SUM(J1675:J1676)</f>
        <v>6835020.1500000004</v>
      </c>
      <c r="K1677" s="480">
        <f>SUM(K1675:K1676)</f>
        <v>6835020.1500000004</v>
      </c>
      <c r="L1677" s="482"/>
      <c r="M1677" s="480"/>
      <c r="N1677" s="421">
        <f>AVERAGE(N1675:N1676)</f>
        <v>1</v>
      </c>
      <c r="O1677" s="694"/>
      <c r="P1677" s="176"/>
      <c r="Q1677" s="177"/>
      <c r="R1677" s="132"/>
    </row>
    <row r="1678" spans="1:22" s="5" customFormat="1" ht="33" x14ac:dyDescent="0.25">
      <c r="A1678" s="1069">
        <v>23</v>
      </c>
      <c r="B1678" s="1080" t="s">
        <v>347</v>
      </c>
      <c r="C1678" s="278" t="s">
        <v>500</v>
      </c>
      <c r="D1678" s="159">
        <v>11444832.539999999</v>
      </c>
      <c r="E1678" s="197" t="s">
        <v>1034</v>
      </c>
      <c r="F1678" s="197" t="s">
        <v>828</v>
      </c>
      <c r="G1678" s="160">
        <v>11444832.539999999</v>
      </c>
      <c r="H1678" s="161">
        <v>42617</v>
      </c>
      <c r="I1678" s="161">
        <v>42641</v>
      </c>
      <c r="J1678" s="162">
        <v>8546454.4399999995</v>
      </c>
      <c r="K1678" s="162">
        <v>8546454.4399999995</v>
      </c>
      <c r="L1678" s="161">
        <v>42702</v>
      </c>
      <c r="M1678" s="199"/>
      <c r="N1678" s="200">
        <v>1</v>
      </c>
      <c r="O1678" s="699"/>
      <c r="P1678" s="176"/>
      <c r="Q1678" s="201" t="s">
        <v>1121</v>
      </c>
      <c r="R1678" s="168"/>
      <c r="S1678" s="19"/>
      <c r="T1678" s="19"/>
      <c r="U1678" s="19"/>
      <c r="V1678" s="19"/>
    </row>
    <row r="1679" spans="1:22" ht="49.5" outlineLevel="1" x14ac:dyDescent="0.25">
      <c r="A1679" s="1070"/>
      <c r="B1679" s="1064"/>
      <c r="C1679" s="356" t="s">
        <v>37</v>
      </c>
      <c r="D1679" s="357">
        <v>99635.72</v>
      </c>
      <c r="E1679" s="361" t="s">
        <v>576</v>
      </c>
      <c r="F1679" s="358" t="s">
        <v>586</v>
      </c>
      <c r="G1679" s="359">
        <v>99635.72</v>
      </c>
      <c r="H1679" s="360">
        <v>42429</v>
      </c>
      <c r="I1679" s="360">
        <v>42593</v>
      </c>
      <c r="J1679" s="361">
        <v>99635.72</v>
      </c>
      <c r="K1679" s="361">
        <v>99635.72</v>
      </c>
      <c r="L1679" s="360"/>
      <c r="M1679" s="361"/>
      <c r="N1679" s="362"/>
      <c r="O1679" s="466" t="s">
        <v>733</v>
      </c>
      <c r="P1679" s="176"/>
      <c r="Q1679" s="177"/>
      <c r="R1679" s="132"/>
    </row>
    <row r="1680" spans="1:22" ht="17.25" outlineLevel="1" thickBot="1" x14ac:dyDescent="0.3">
      <c r="A1680" s="1010" t="s">
        <v>628</v>
      </c>
      <c r="B1680" s="1011"/>
      <c r="C1680" s="607"/>
      <c r="D1680" s="480">
        <f>SUM(D1678:D1679)</f>
        <v>11544468.26</v>
      </c>
      <c r="E1680" s="247"/>
      <c r="F1680" s="247"/>
      <c r="G1680" s="693">
        <f>SUM(G1678:G1679)</f>
        <v>11544468.26</v>
      </c>
      <c r="H1680" s="247"/>
      <c r="I1680" s="277"/>
      <c r="J1680" s="480">
        <f>SUM(J1678:J1679)</f>
        <v>8646090.1600000001</v>
      </c>
      <c r="K1680" s="480">
        <f>SUM(K1678:K1679)</f>
        <v>8646090.1600000001</v>
      </c>
      <c r="L1680" s="579"/>
      <c r="M1680" s="577"/>
      <c r="N1680" s="421">
        <f>AVERAGE(N1678:N1679)</f>
        <v>1</v>
      </c>
      <c r="O1680" s="707"/>
      <c r="P1680" s="176"/>
      <c r="Q1680" s="177"/>
      <c r="R1680" s="132"/>
    </row>
    <row r="1681" spans="1:22" s="69" customFormat="1" ht="33" x14ac:dyDescent="0.25">
      <c r="A1681" s="1069">
        <v>24</v>
      </c>
      <c r="B1681" s="1080" t="s">
        <v>583</v>
      </c>
      <c r="C1681" s="278" t="s">
        <v>34</v>
      </c>
      <c r="D1681" s="208">
        <v>14721403.880000001</v>
      </c>
      <c r="E1681" s="197" t="s">
        <v>1053</v>
      </c>
      <c r="F1681" s="197" t="s">
        <v>830</v>
      </c>
      <c r="G1681" s="160">
        <v>14721430.880000001</v>
      </c>
      <c r="H1681" s="161">
        <v>42795</v>
      </c>
      <c r="I1681" s="161">
        <v>42731</v>
      </c>
      <c r="J1681" s="162">
        <v>11123439.1</v>
      </c>
      <c r="K1681" s="162">
        <v>11123439.1</v>
      </c>
      <c r="L1681" s="161">
        <v>42734</v>
      </c>
      <c r="M1681" s="199"/>
      <c r="N1681" s="200">
        <v>0.9</v>
      </c>
      <c r="O1681" s="718"/>
      <c r="P1681" s="457"/>
      <c r="Q1681" s="458" t="s">
        <v>1114</v>
      </c>
      <c r="R1681" s="236"/>
      <c r="S1681" s="68"/>
      <c r="T1681" s="68"/>
      <c r="U1681" s="68"/>
      <c r="V1681" s="68"/>
    </row>
    <row r="1682" spans="1:22" ht="33" outlineLevel="1" x14ac:dyDescent="0.25">
      <c r="A1682" s="1070"/>
      <c r="B1682" s="1064"/>
      <c r="C1682" s="281" t="s">
        <v>35</v>
      </c>
      <c r="D1682" s="208">
        <v>1148982.52</v>
      </c>
      <c r="E1682" s="163" t="s">
        <v>1149</v>
      </c>
      <c r="F1682" s="253" t="s">
        <v>828</v>
      </c>
      <c r="G1682" s="316">
        <v>1654607.35</v>
      </c>
      <c r="H1682" s="210">
        <v>42598</v>
      </c>
      <c r="I1682" s="210">
        <v>42655</v>
      </c>
      <c r="J1682" s="163">
        <v>1148982.52</v>
      </c>
      <c r="K1682" s="163">
        <v>1148982.52</v>
      </c>
      <c r="L1682" s="626"/>
      <c r="M1682" s="163"/>
      <c r="N1682" s="207">
        <v>1</v>
      </c>
      <c r="O1682" s="299"/>
      <c r="P1682" s="176"/>
      <c r="Q1682" s="201" t="s">
        <v>1114</v>
      </c>
      <c r="R1682" s="132"/>
    </row>
    <row r="1683" spans="1:22" ht="33" outlineLevel="1" x14ac:dyDescent="0.25">
      <c r="A1683" s="1070"/>
      <c r="B1683" s="1064"/>
      <c r="C1683" s="281" t="s">
        <v>36</v>
      </c>
      <c r="D1683" s="208">
        <v>1424172.68</v>
      </c>
      <c r="E1683" s="163" t="s">
        <v>1149</v>
      </c>
      <c r="F1683" s="253" t="s">
        <v>828</v>
      </c>
      <c r="G1683" s="163">
        <v>1654608.35</v>
      </c>
      <c r="H1683" s="210">
        <v>42598</v>
      </c>
      <c r="I1683" s="210">
        <v>42655</v>
      </c>
      <c r="J1683" s="163">
        <v>1424172.68</v>
      </c>
      <c r="K1683" s="163">
        <v>1424172.68</v>
      </c>
      <c r="L1683" s="210"/>
      <c r="M1683" s="163"/>
      <c r="N1683" s="213">
        <v>1</v>
      </c>
      <c r="O1683" s="704"/>
      <c r="P1683" s="176"/>
      <c r="Q1683" s="201" t="s">
        <v>1114</v>
      </c>
      <c r="R1683" s="132"/>
    </row>
    <row r="1684" spans="1:22" ht="49.5" outlineLevel="1" x14ac:dyDescent="0.25">
      <c r="A1684" s="1070"/>
      <c r="B1684" s="1064"/>
      <c r="C1684" s="356" t="s">
        <v>37</v>
      </c>
      <c r="D1684" s="357">
        <v>99822.19</v>
      </c>
      <c r="E1684" s="361" t="s">
        <v>576</v>
      </c>
      <c r="F1684" s="358" t="s">
        <v>586</v>
      </c>
      <c r="G1684" s="359">
        <v>99822.19</v>
      </c>
      <c r="H1684" s="360">
        <v>42429</v>
      </c>
      <c r="I1684" s="360">
        <v>42593</v>
      </c>
      <c r="J1684" s="361">
        <v>99822.19</v>
      </c>
      <c r="K1684" s="361">
        <v>99822.19</v>
      </c>
      <c r="L1684" s="360"/>
      <c r="M1684" s="361"/>
      <c r="N1684" s="362"/>
      <c r="O1684" s="466" t="s">
        <v>733</v>
      </c>
      <c r="P1684" s="176"/>
      <c r="Q1684" s="177"/>
      <c r="R1684" s="132"/>
    </row>
    <row r="1685" spans="1:22" ht="17.25" outlineLevel="1" thickBot="1" x14ac:dyDescent="0.3">
      <c r="A1685" s="1006" t="s">
        <v>628</v>
      </c>
      <c r="B1685" s="1007"/>
      <c r="C1685" s="691"/>
      <c r="D1685" s="480">
        <f>SUM(D1681:D1684)</f>
        <v>17394381.270000003</v>
      </c>
      <c r="E1685" s="239"/>
      <c r="F1685" s="239"/>
      <c r="G1685" s="693">
        <f>SUM(G1681:G1684)</f>
        <v>18130468.770000003</v>
      </c>
      <c r="H1685" s="239"/>
      <c r="I1685" s="321"/>
      <c r="J1685" s="480">
        <f>SUM(J1681:J1684)</f>
        <v>13796416.489999998</v>
      </c>
      <c r="K1685" s="480">
        <f>SUM(K1681:K1684)</f>
        <v>13796416.489999998</v>
      </c>
      <c r="L1685" s="482"/>
      <c r="M1685" s="480"/>
      <c r="N1685" s="421">
        <f>AVERAGE(N1681:N1684)</f>
        <v>0.96666666666666667</v>
      </c>
      <c r="O1685" s="694"/>
      <c r="P1685" s="176"/>
      <c r="Q1685" s="177"/>
      <c r="R1685" s="132"/>
    </row>
    <row r="1686" spans="1:22" s="5" customFormat="1" ht="49.5" x14ac:dyDescent="0.25">
      <c r="A1686" s="1069">
        <v>25</v>
      </c>
      <c r="B1686" s="1080" t="s">
        <v>348</v>
      </c>
      <c r="C1686" s="278" t="s">
        <v>500</v>
      </c>
      <c r="D1686" s="159">
        <v>11444832.539999999</v>
      </c>
      <c r="E1686" s="197" t="s">
        <v>1034</v>
      </c>
      <c r="F1686" s="197" t="s">
        <v>828</v>
      </c>
      <c r="G1686" s="160">
        <v>11444832.539999999</v>
      </c>
      <c r="H1686" s="161">
        <v>42617</v>
      </c>
      <c r="I1686" s="161">
        <v>42641</v>
      </c>
      <c r="J1686" s="162">
        <v>8605553.5600000005</v>
      </c>
      <c r="K1686" s="162">
        <v>8605553.5600000005</v>
      </c>
      <c r="L1686" s="161">
        <v>42702</v>
      </c>
      <c r="M1686" s="199"/>
      <c r="N1686" s="200">
        <v>1</v>
      </c>
      <c r="O1686" s="699"/>
      <c r="P1686" s="176"/>
      <c r="Q1686" s="280" t="s">
        <v>1118</v>
      </c>
      <c r="R1686" s="168"/>
      <c r="S1686" s="19"/>
      <c r="T1686" s="19"/>
      <c r="U1686" s="19"/>
      <c r="V1686" s="19"/>
    </row>
    <row r="1687" spans="1:22" ht="49.5" outlineLevel="1" x14ac:dyDescent="0.25">
      <c r="A1687" s="1070"/>
      <c r="B1687" s="1064"/>
      <c r="C1687" s="356" t="s">
        <v>37</v>
      </c>
      <c r="D1687" s="357">
        <v>99240.68</v>
      </c>
      <c r="E1687" s="361" t="s">
        <v>576</v>
      </c>
      <c r="F1687" s="358" t="s">
        <v>586</v>
      </c>
      <c r="G1687" s="359">
        <v>99240.68</v>
      </c>
      <c r="H1687" s="360">
        <v>42429</v>
      </c>
      <c r="I1687" s="360">
        <v>42593</v>
      </c>
      <c r="J1687" s="361">
        <v>99240.68</v>
      </c>
      <c r="K1687" s="361">
        <v>99240.68</v>
      </c>
      <c r="L1687" s="360"/>
      <c r="M1687" s="361"/>
      <c r="N1687" s="362"/>
      <c r="O1687" s="466" t="s">
        <v>733</v>
      </c>
      <c r="P1687" s="176"/>
      <c r="Q1687" s="177"/>
      <c r="R1687" s="132"/>
    </row>
    <row r="1688" spans="1:22" ht="17.25" outlineLevel="1" thickBot="1" x14ac:dyDescent="0.3">
      <c r="A1688" s="1006" t="s">
        <v>628</v>
      </c>
      <c r="B1688" s="1007"/>
      <c r="C1688" s="691"/>
      <c r="D1688" s="480">
        <f>SUM(D1686:D1687)</f>
        <v>11544073.219999999</v>
      </c>
      <c r="E1688" s="239"/>
      <c r="F1688" s="239"/>
      <c r="G1688" s="693">
        <f>SUM(G1686:G1687)</f>
        <v>11544073.219999999</v>
      </c>
      <c r="H1688" s="239"/>
      <c r="I1688" s="321"/>
      <c r="J1688" s="480">
        <f>SUM(J1686:J1687)</f>
        <v>8704794.2400000002</v>
      </c>
      <c r="K1688" s="480">
        <f>SUM(K1686:K1687)</f>
        <v>8704794.2400000002</v>
      </c>
      <c r="L1688" s="482"/>
      <c r="M1688" s="480"/>
      <c r="N1688" s="421">
        <f>AVERAGE(N1686:N1687)</f>
        <v>1</v>
      </c>
      <c r="O1688" s="694"/>
      <c r="P1688" s="176"/>
      <c r="Q1688" s="177"/>
      <c r="R1688" s="132"/>
    </row>
    <row r="1689" spans="1:22" s="5" customFormat="1" ht="49.5" x14ac:dyDescent="0.25">
      <c r="A1689" s="1069">
        <v>26</v>
      </c>
      <c r="B1689" s="1080" t="s">
        <v>349</v>
      </c>
      <c r="C1689" s="278" t="s">
        <v>500</v>
      </c>
      <c r="D1689" s="159">
        <v>11444832.539999999</v>
      </c>
      <c r="E1689" s="197" t="s">
        <v>1034</v>
      </c>
      <c r="F1689" s="197" t="s">
        <v>828</v>
      </c>
      <c r="G1689" s="160">
        <v>11444832.539999999</v>
      </c>
      <c r="H1689" s="161">
        <v>42617</v>
      </c>
      <c r="I1689" s="161">
        <v>42657</v>
      </c>
      <c r="J1689" s="162">
        <v>9007826.1799999997</v>
      </c>
      <c r="K1689" s="162">
        <v>9007826.1799999997</v>
      </c>
      <c r="L1689" s="198"/>
      <c r="M1689" s="199"/>
      <c r="N1689" s="200">
        <v>1</v>
      </c>
      <c r="O1689" s="699"/>
      <c r="P1689" s="176"/>
      <c r="Q1689" s="280" t="s">
        <v>1118</v>
      </c>
      <c r="R1689" s="168"/>
      <c r="S1689" s="19"/>
      <c r="T1689" s="19"/>
      <c r="U1689" s="19"/>
      <c r="V1689" s="19"/>
    </row>
    <row r="1690" spans="1:22" ht="49.5" outlineLevel="1" x14ac:dyDescent="0.25">
      <c r="A1690" s="1070"/>
      <c r="B1690" s="1064"/>
      <c r="C1690" s="356" t="s">
        <v>37</v>
      </c>
      <c r="D1690" s="357">
        <v>99540.25</v>
      </c>
      <c r="E1690" s="361" t="s">
        <v>576</v>
      </c>
      <c r="F1690" s="358" t="s">
        <v>586</v>
      </c>
      <c r="G1690" s="359">
        <v>99540.25</v>
      </c>
      <c r="H1690" s="360">
        <v>42429</v>
      </c>
      <c r="I1690" s="360">
        <v>42593</v>
      </c>
      <c r="J1690" s="361">
        <v>99540.25</v>
      </c>
      <c r="K1690" s="361">
        <v>99540.25</v>
      </c>
      <c r="L1690" s="360"/>
      <c r="M1690" s="361"/>
      <c r="N1690" s="362"/>
      <c r="O1690" s="466" t="s">
        <v>733</v>
      </c>
      <c r="P1690" s="176"/>
      <c r="Q1690" s="177"/>
      <c r="R1690" s="132"/>
    </row>
    <row r="1691" spans="1:22" ht="17.25" outlineLevel="1" thickBot="1" x14ac:dyDescent="0.3">
      <c r="A1691" s="1006" t="s">
        <v>628</v>
      </c>
      <c r="B1691" s="1007"/>
      <c r="C1691" s="691"/>
      <c r="D1691" s="480">
        <f>SUM(D1689:D1690)</f>
        <v>11544372.789999999</v>
      </c>
      <c r="E1691" s="239"/>
      <c r="F1691" s="239"/>
      <c r="G1691" s="693">
        <f>SUM(G1689:G1690)</f>
        <v>11544372.789999999</v>
      </c>
      <c r="H1691" s="239"/>
      <c r="I1691" s="321"/>
      <c r="J1691" s="480">
        <f>SUM(J1689:J1690)</f>
        <v>9107366.4299999997</v>
      </c>
      <c r="K1691" s="480">
        <f>SUM(K1689:K1690)</f>
        <v>9107366.4299999997</v>
      </c>
      <c r="L1691" s="482"/>
      <c r="M1691" s="480"/>
      <c r="N1691" s="421">
        <f>AVERAGE(N1689:N1690)</f>
        <v>1</v>
      </c>
      <c r="O1691" s="694"/>
      <c r="P1691" s="176"/>
      <c r="Q1691" s="177"/>
      <c r="R1691" s="132"/>
    </row>
    <row r="1692" spans="1:22" s="5" customFormat="1" ht="33" x14ac:dyDescent="0.25">
      <c r="A1692" s="1069">
        <v>27</v>
      </c>
      <c r="B1692" s="1080" t="s">
        <v>341</v>
      </c>
      <c r="C1692" s="278" t="s">
        <v>34</v>
      </c>
      <c r="D1692" s="208">
        <v>10926736.640000001</v>
      </c>
      <c r="E1692" s="509" t="s">
        <v>1056</v>
      </c>
      <c r="F1692" s="509" t="s">
        <v>830</v>
      </c>
      <c r="G1692" s="160">
        <v>10926736.640000001</v>
      </c>
      <c r="H1692" s="161">
        <v>42605</v>
      </c>
      <c r="I1692" s="161">
        <v>42732</v>
      </c>
      <c r="J1692" s="162"/>
      <c r="K1692" s="199"/>
      <c r="L1692" s="198"/>
      <c r="M1692" s="199"/>
      <c r="N1692" s="376">
        <v>0.9</v>
      </c>
      <c r="O1692" s="699"/>
      <c r="P1692" s="176"/>
      <c r="Q1692" s="201" t="s">
        <v>1114</v>
      </c>
      <c r="R1692" s="168"/>
      <c r="S1692" s="19"/>
      <c r="T1692" s="19"/>
      <c r="U1692" s="19"/>
      <c r="V1692" s="19"/>
    </row>
    <row r="1693" spans="1:22" ht="33" outlineLevel="1" x14ac:dyDescent="0.25">
      <c r="A1693" s="1070"/>
      <c r="B1693" s="1064"/>
      <c r="C1693" s="342" t="s">
        <v>35</v>
      </c>
      <c r="D1693" s="339">
        <v>1265470.94</v>
      </c>
      <c r="E1693" s="432" t="s">
        <v>1056</v>
      </c>
      <c r="F1693" s="432" t="s">
        <v>830</v>
      </c>
      <c r="G1693" s="521">
        <v>1265470.94</v>
      </c>
      <c r="H1693" s="171">
        <v>42605</v>
      </c>
      <c r="I1693" s="172"/>
      <c r="J1693" s="173"/>
      <c r="K1693" s="173"/>
      <c r="L1693" s="496"/>
      <c r="M1693" s="173"/>
      <c r="N1693" s="305">
        <v>0</v>
      </c>
      <c r="O1693" s="299"/>
      <c r="P1693" s="176"/>
      <c r="Q1693" s="201" t="s">
        <v>1114</v>
      </c>
      <c r="R1693" s="132"/>
    </row>
    <row r="1694" spans="1:22" ht="33" outlineLevel="1" x14ac:dyDescent="0.25">
      <c r="A1694" s="1070"/>
      <c r="B1694" s="1064"/>
      <c r="C1694" s="342" t="s">
        <v>36</v>
      </c>
      <c r="D1694" s="342">
        <v>912063.3</v>
      </c>
      <c r="E1694" s="173" t="s">
        <v>1056</v>
      </c>
      <c r="F1694" s="432" t="s">
        <v>830</v>
      </c>
      <c r="G1694" s="703">
        <v>912063.3</v>
      </c>
      <c r="H1694" s="171">
        <v>42605</v>
      </c>
      <c r="I1694" s="172"/>
      <c r="J1694" s="173"/>
      <c r="K1694" s="173"/>
      <c r="L1694" s="171"/>
      <c r="M1694" s="173"/>
      <c r="N1694" s="460">
        <v>0</v>
      </c>
      <c r="O1694" s="704"/>
      <c r="P1694" s="176"/>
      <c r="Q1694" s="201" t="s">
        <v>1114</v>
      </c>
      <c r="R1694" s="132"/>
    </row>
    <row r="1695" spans="1:22" ht="49.5" outlineLevel="1" x14ac:dyDescent="0.25">
      <c r="A1695" s="1070"/>
      <c r="B1695" s="1064"/>
      <c r="C1695" s="356" t="s">
        <v>37</v>
      </c>
      <c r="D1695" s="357">
        <v>175960.1</v>
      </c>
      <c r="E1695" s="361" t="s">
        <v>576</v>
      </c>
      <c r="F1695" s="358" t="s">
        <v>586</v>
      </c>
      <c r="G1695" s="359">
        <v>175960.1</v>
      </c>
      <c r="H1695" s="360">
        <v>42429</v>
      </c>
      <c r="I1695" s="360">
        <v>42593</v>
      </c>
      <c r="J1695" s="361">
        <v>175960.1</v>
      </c>
      <c r="K1695" s="361">
        <v>175960.1</v>
      </c>
      <c r="L1695" s="360"/>
      <c r="M1695" s="361"/>
      <c r="N1695" s="362"/>
      <c r="O1695" s="466" t="s">
        <v>733</v>
      </c>
      <c r="P1695" s="176"/>
      <c r="Q1695" s="177"/>
      <c r="R1695" s="132"/>
    </row>
    <row r="1696" spans="1:22" ht="17.25" outlineLevel="1" thickBot="1" x14ac:dyDescent="0.3">
      <c r="A1696" s="1010" t="s">
        <v>628</v>
      </c>
      <c r="B1696" s="1011"/>
      <c r="C1696" s="607"/>
      <c r="D1696" s="577">
        <f>SUM(D1692:D1695)</f>
        <v>13280230.98</v>
      </c>
      <c r="E1696" s="247"/>
      <c r="F1696" s="247"/>
      <c r="G1696" s="706">
        <f>SUM(G1692:G1695)</f>
        <v>13280230.98</v>
      </c>
      <c r="H1696" s="247"/>
      <c r="I1696" s="277"/>
      <c r="J1696" s="577">
        <f>SUM(J1692:J1695)</f>
        <v>175960.1</v>
      </c>
      <c r="K1696" s="577">
        <f>SUM(K1692:K1695)</f>
        <v>175960.1</v>
      </c>
      <c r="L1696" s="579"/>
      <c r="M1696" s="577"/>
      <c r="N1696" s="606">
        <f>AVERAGE(N1692:N1695)</f>
        <v>0.3</v>
      </c>
      <c r="O1696" s="707"/>
      <c r="P1696" s="176"/>
      <c r="Q1696" s="177"/>
      <c r="R1696" s="132"/>
    </row>
    <row r="1697" spans="1:22" s="5" customFormat="1" ht="49.5" x14ac:dyDescent="0.25">
      <c r="A1697" s="1069">
        <v>28</v>
      </c>
      <c r="B1697" s="1080" t="s">
        <v>584</v>
      </c>
      <c r="C1697" s="278" t="s">
        <v>34</v>
      </c>
      <c r="D1697" s="159">
        <v>10732133.039999999</v>
      </c>
      <c r="E1697" s="197" t="s">
        <v>1149</v>
      </c>
      <c r="F1697" s="197" t="s">
        <v>828</v>
      </c>
      <c r="G1697" s="160">
        <v>11508542.220000001</v>
      </c>
      <c r="H1697" s="161">
        <v>42598</v>
      </c>
      <c r="I1697" s="161">
        <v>42598</v>
      </c>
      <c r="J1697" s="162">
        <v>10732133.039999999</v>
      </c>
      <c r="K1697" s="162">
        <v>10732133.039999999</v>
      </c>
      <c r="L1697" s="198"/>
      <c r="M1697" s="199"/>
      <c r="N1697" s="200">
        <v>1</v>
      </c>
      <c r="O1697" s="699"/>
      <c r="P1697" s="176"/>
      <c r="Q1697" s="280" t="s">
        <v>1118</v>
      </c>
      <c r="R1697" s="168"/>
      <c r="S1697" s="19"/>
      <c r="T1697" s="19"/>
      <c r="U1697" s="19"/>
      <c r="V1697" s="19"/>
    </row>
    <row r="1698" spans="1:22" ht="49.5" outlineLevel="1" x14ac:dyDescent="0.25">
      <c r="A1698" s="1070"/>
      <c r="B1698" s="1064"/>
      <c r="C1698" s="281" t="s">
        <v>36</v>
      </c>
      <c r="D1698" s="208">
        <v>1008017.36</v>
      </c>
      <c r="E1698" s="163" t="s">
        <v>1149</v>
      </c>
      <c r="F1698" s="253" t="s">
        <v>828</v>
      </c>
      <c r="G1698" s="209">
        <v>1011215.03</v>
      </c>
      <c r="H1698" s="210">
        <v>42598</v>
      </c>
      <c r="I1698" s="751">
        <v>1208777.8400000001</v>
      </c>
      <c r="J1698" s="163">
        <v>1008017.36</v>
      </c>
      <c r="K1698" s="163">
        <v>1008017.36</v>
      </c>
      <c r="L1698" s="210"/>
      <c r="M1698" s="163"/>
      <c r="N1698" s="213">
        <v>1</v>
      </c>
      <c r="O1698" s="704"/>
      <c r="P1698" s="176"/>
      <c r="Q1698" s="280" t="s">
        <v>1118</v>
      </c>
      <c r="R1698" s="132"/>
    </row>
    <row r="1699" spans="1:22" ht="33" outlineLevel="1" x14ac:dyDescent="0.25">
      <c r="A1699" s="1070"/>
      <c r="B1699" s="1064"/>
      <c r="C1699" s="342" t="s">
        <v>501</v>
      </c>
      <c r="D1699" s="339">
        <v>14590000</v>
      </c>
      <c r="E1699" s="173" t="s">
        <v>1176</v>
      </c>
      <c r="F1699" s="432" t="s">
        <v>1021</v>
      </c>
      <c r="G1699" s="703">
        <v>13300004.33</v>
      </c>
      <c r="H1699" s="171">
        <v>42906</v>
      </c>
      <c r="I1699" s="172"/>
      <c r="J1699" s="173"/>
      <c r="K1699" s="173"/>
      <c r="L1699" s="171"/>
      <c r="M1699" s="173"/>
      <c r="N1699" s="460">
        <v>0</v>
      </c>
      <c r="O1699" s="704"/>
      <c r="P1699" s="176">
        <v>2017</v>
      </c>
      <c r="Q1699" s="177"/>
      <c r="R1699" s="132"/>
    </row>
    <row r="1700" spans="1:22" ht="49.5" outlineLevel="1" x14ac:dyDescent="0.25">
      <c r="A1700" s="1070"/>
      <c r="B1700" s="1064"/>
      <c r="C1700" s="356" t="s">
        <v>37</v>
      </c>
      <c r="D1700" s="357">
        <v>230803.22</v>
      </c>
      <c r="E1700" s="361" t="s">
        <v>576</v>
      </c>
      <c r="F1700" s="358" t="s">
        <v>586</v>
      </c>
      <c r="G1700" s="359">
        <v>230803.22</v>
      </c>
      <c r="H1700" s="360">
        <v>42429</v>
      </c>
      <c r="I1700" s="360">
        <v>42593</v>
      </c>
      <c r="J1700" s="361">
        <v>230803.22</v>
      </c>
      <c r="K1700" s="361">
        <v>230803.22</v>
      </c>
      <c r="L1700" s="360"/>
      <c r="M1700" s="361"/>
      <c r="N1700" s="362"/>
      <c r="O1700" s="466" t="s">
        <v>733</v>
      </c>
      <c r="P1700" s="176"/>
      <c r="Q1700" s="177"/>
      <c r="R1700" s="132"/>
    </row>
    <row r="1701" spans="1:22" ht="17.25" outlineLevel="1" thickBot="1" x14ac:dyDescent="0.3">
      <c r="A1701" s="1006" t="s">
        <v>628</v>
      </c>
      <c r="B1701" s="1007"/>
      <c r="C1701" s="691"/>
      <c r="D1701" s="577">
        <f>SUM(D1697:D1700)</f>
        <v>26560953.619999997</v>
      </c>
      <c r="E1701" s="239"/>
      <c r="F1701" s="239"/>
      <c r="G1701" s="706">
        <f>SUM(G1697:G1700)</f>
        <v>26050564.799999997</v>
      </c>
      <c r="H1701" s="239"/>
      <c r="I1701" s="321"/>
      <c r="J1701" s="577">
        <f>SUM(J1697:J1700)</f>
        <v>11970953.619999999</v>
      </c>
      <c r="K1701" s="577">
        <f>SUM(K1697:K1700)</f>
        <v>11970953.619999999</v>
      </c>
      <c r="L1701" s="579"/>
      <c r="M1701" s="577"/>
      <c r="N1701" s="606">
        <f>AVERAGE(N1697:N1700)</f>
        <v>0.66666666666666663</v>
      </c>
      <c r="O1701" s="694"/>
      <c r="P1701" s="176"/>
      <c r="Q1701" s="177"/>
      <c r="R1701" s="132"/>
    </row>
    <row r="1702" spans="1:22" s="5" customFormat="1" ht="49.5" x14ac:dyDescent="0.25">
      <c r="A1702" s="1069">
        <v>29</v>
      </c>
      <c r="B1702" s="1080" t="s">
        <v>585</v>
      </c>
      <c r="C1702" s="278" t="s">
        <v>34</v>
      </c>
      <c r="D1702" s="159">
        <v>10387196.619999999</v>
      </c>
      <c r="E1702" s="197" t="s">
        <v>1149</v>
      </c>
      <c r="F1702" s="197" t="s">
        <v>1149</v>
      </c>
      <c r="G1702" s="160">
        <v>10569587.73</v>
      </c>
      <c r="H1702" s="161">
        <v>42598</v>
      </c>
      <c r="I1702" s="161">
        <v>42598</v>
      </c>
      <c r="J1702" s="162">
        <v>10387196.619999999</v>
      </c>
      <c r="K1702" s="162">
        <v>10387196.619999999</v>
      </c>
      <c r="L1702" s="198"/>
      <c r="M1702" s="199"/>
      <c r="N1702" s="200">
        <v>1</v>
      </c>
      <c r="O1702" s="699"/>
      <c r="P1702" s="176"/>
      <c r="Q1702" s="280" t="s">
        <v>1118</v>
      </c>
      <c r="R1702" s="168"/>
      <c r="S1702" s="19"/>
      <c r="T1702" s="19"/>
      <c r="U1702" s="19"/>
      <c r="V1702" s="19"/>
    </row>
    <row r="1703" spans="1:22" ht="49.5" outlineLevel="1" x14ac:dyDescent="0.25">
      <c r="A1703" s="1070"/>
      <c r="B1703" s="1064"/>
      <c r="C1703" s="281" t="s">
        <v>36</v>
      </c>
      <c r="D1703" s="208">
        <v>1008017.36</v>
      </c>
      <c r="E1703" s="163" t="s">
        <v>1149</v>
      </c>
      <c r="F1703" s="253" t="s">
        <v>1149</v>
      </c>
      <c r="G1703" s="209">
        <v>1011215.03</v>
      </c>
      <c r="H1703" s="212">
        <v>42598</v>
      </c>
      <c r="I1703" s="210">
        <v>42598</v>
      </c>
      <c r="J1703" s="163">
        <v>1008017.36</v>
      </c>
      <c r="K1703" s="163">
        <v>1008017.36</v>
      </c>
      <c r="L1703" s="210"/>
      <c r="M1703" s="163"/>
      <c r="N1703" s="213">
        <v>1</v>
      </c>
      <c r="O1703" s="704"/>
      <c r="P1703" s="176"/>
      <c r="Q1703" s="280" t="s">
        <v>1118</v>
      </c>
      <c r="R1703" s="132"/>
    </row>
    <row r="1704" spans="1:22" ht="49.5" outlineLevel="1" x14ac:dyDescent="0.25">
      <c r="A1704" s="1070"/>
      <c r="B1704" s="1064"/>
      <c r="C1704" s="356" t="s">
        <v>37</v>
      </c>
      <c r="D1704" s="357">
        <v>80034.5</v>
      </c>
      <c r="E1704" s="361" t="s">
        <v>576</v>
      </c>
      <c r="F1704" s="358" t="s">
        <v>586</v>
      </c>
      <c r="G1704" s="359">
        <v>80034.5</v>
      </c>
      <c r="H1704" s="360">
        <v>42429</v>
      </c>
      <c r="I1704" s="360">
        <v>42593</v>
      </c>
      <c r="J1704" s="361">
        <v>80034.5</v>
      </c>
      <c r="K1704" s="361">
        <v>80034.5</v>
      </c>
      <c r="L1704" s="360"/>
      <c r="M1704" s="361"/>
      <c r="N1704" s="362"/>
      <c r="O1704" s="466" t="s">
        <v>733</v>
      </c>
      <c r="P1704" s="176"/>
      <c r="Q1704" s="177"/>
      <c r="R1704" s="132"/>
    </row>
    <row r="1705" spans="1:22" ht="17.25" outlineLevel="1" thickBot="1" x14ac:dyDescent="0.3">
      <c r="A1705" s="1006" t="s">
        <v>628</v>
      </c>
      <c r="B1705" s="1007"/>
      <c r="C1705" s="691"/>
      <c r="D1705" s="480">
        <f>SUM(D1702:D1704)</f>
        <v>11475248.479999999</v>
      </c>
      <c r="E1705" s="239"/>
      <c r="F1705" s="239"/>
      <c r="G1705" s="693">
        <f>SUM(G1702:G1704)</f>
        <v>11660837.26</v>
      </c>
      <c r="H1705" s="239"/>
      <c r="I1705" s="321"/>
      <c r="J1705" s="480">
        <f>SUM(J1702:J1704)</f>
        <v>11475248.479999999</v>
      </c>
      <c r="K1705" s="480">
        <f>SUM(K1702:K1704)</f>
        <v>11475248.479999999</v>
      </c>
      <c r="L1705" s="482"/>
      <c r="M1705" s="480"/>
      <c r="N1705" s="421">
        <f>AVERAGE(N1702:N1704)</f>
        <v>1</v>
      </c>
      <c r="O1705" s="694"/>
      <c r="P1705" s="176"/>
      <c r="Q1705" s="177"/>
      <c r="R1705" s="132"/>
    </row>
    <row r="1706" spans="1:22" s="5" customFormat="1" ht="33" x14ac:dyDescent="0.25">
      <c r="A1706" s="1069">
        <v>30</v>
      </c>
      <c r="B1706" s="1075" t="s">
        <v>340</v>
      </c>
      <c r="C1706" s="278" t="s">
        <v>500</v>
      </c>
      <c r="D1706" s="208">
        <v>3837521.66</v>
      </c>
      <c r="E1706" s="509" t="s">
        <v>1022</v>
      </c>
      <c r="F1706" s="197" t="s">
        <v>1021</v>
      </c>
      <c r="G1706" s="830">
        <v>4047995.9</v>
      </c>
      <c r="H1706" s="206">
        <v>42639</v>
      </c>
      <c r="I1706" s="161">
        <v>42661</v>
      </c>
      <c r="J1706" s="162">
        <v>3837521.66</v>
      </c>
      <c r="K1706" s="162">
        <v>3837521.66</v>
      </c>
      <c r="L1706" s="198"/>
      <c r="M1706" s="199"/>
      <c r="N1706" s="200">
        <v>1</v>
      </c>
      <c r="O1706" s="699"/>
      <c r="P1706" s="176"/>
      <c r="Q1706" s="201" t="s">
        <v>1121</v>
      </c>
      <c r="R1706" s="168"/>
      <c r="S1706" s="19"/>
      <c r="T1706" s="19"/>
      <c r="U1706" s="19"/>
      <c r="V1706" s="19"/>
    </row>
    <row r="1707" spans="1:22" ht="33" outlineLevel="1" x14ac:dyDescent="0.25">
      <c r="A1707" s="1070"/>
      <c r="B1707" s="1076"/>
      <c r="C1707" s="342" t="s">
        <v>501</v>
      </c>
      <c r="D1707" s="339">
        <v>5785000</v>
      </c>
      <c r="E1707" s="432" t="s">
        <v>1175</v>
      </c>
      <c r="F1707" s="373" t="s">
        <v>1021</v>
      </c>
      <c r="G1707" s="339">
        <v>4733437.29</v>
      </c>
      <c r="H1707" s="171">
        <v>42906</v>
      </c>
      <c r="I1707" s="172"/>
      <c r="J1707" s="173"/>
      <c r="K1707" s="173"/>
      <c r="L1707" s="171"/>
      <c r="M1707" s="173"/>
      <c r="N1707" s="460">
        <v>0</v>
      </c>
      <c r="O1707" s="704"/>
      <c r="P1707" s="176">
        <v>2017</v>
      </c>
      <c r="Q1707" s="177"/>
      <c r="R1707" s="132"/>
    </row>
    <row r="1708" spans="1:22" ht="49.5" outlineLevel="1" x14ac:dyDescent="0.25">
      <c r="A1708" s="1070"/>
      <c r="B1708" s="1076"/>
      <c r="C1708" s="356" t="s">
        <v>37</v>
      </c>
      <c r="D1708" s="357">
        <v>151699.73000000001</v>
      </c>
      <c r="E1708" s="361" t="s">
        <v>576</v>
      </c>
      <c r="F1708" s="358" t="s">
        <v>586</v>
      </c>
      <c r="G1708" s="359">
        <v>151699.73000000001</v>
      </c>
      <c r="H1708" s="360">
        <v>42429</v>
      </c>
      <c r="I1708" s="360">
        <v>42593</v>
      </c>
      <c r="J1708" s="361">
        <v>151699.73000000001</v>
      </c>
      <c r="K1708" s="361">
        <v>151699.73000000001</v>
      </c>
      <c r="L1708" s="360"/>
      <c r="M1708" s="361"/>
      <c r="N1708" s="362"/>
      <c r="O1708" s="466" t="s">
        <v>733</v>
      </c>
      <c r="P1708" s="176"/>
      <c r="Q1708" s="177"/>
      <c r="R1708" s="132"/>
    </row>
    <row r="1709" spans="1:22" ht="17.25" outlineLevel="1" thickBot="1" x14ac:dyDescent="0.3">
      <c r="A1709" s="1010" t="s">
        <v>628</v>
      </c>
      <c r="B1709" s="1011"/>
      <c r="C1709" s="607"/>
      <c r="D1709" s="480">
        <f>SUM(D1706:D1708)</f>
        <v>9774221.3900000006</v>
      </c>
      <c r="E1709" s="247"/>
      <c r="F1709" s="247"/>
      <c r="G1709" s="693">
        <f>SUM(G1706:G1708)</f>
        <v>8933132.9199999999</v>
      </c>
      <c r="H1709" s="247"/>
      <c r="I1709" s="277"/>
      <c r="J1709" s="480">
        <f>SUM(J1706:J1708)</f>
        <v>3989221.39</v>
      </c>
      <c r="K1709" s="480">
        <f>SUM(K1706:K1708)</f>
        <v>3989221.39</v>
      </c>
      <c r="L1709" s="579"/>
      <c r="M1709" s="577"/>
      <c r="N1709" s="606">
        <f>AVERAGE(N1706:N1708)</f>
        <v>0.5</v>
      </c>
      <c r="O1709" s="707"/>
      <c r="P1709" s="176"/>
      <c r="Q1709" s="177"/>
      <c r="R1709" s="132"/>
    </row>
    <row r="1710" spans="1:22" s="5" customFormat="1" ht="33" x14ac:dyDescent="0.25">
      <c r="A1710" s="1069">
        <v>31</v>
      </c>
      <c r="B1710" s="1080" t="s">
        <v>351</v>
      </c>
      <c r="C1710" s="278" t="s">
        <v>500</v>
      </c>
      <c r="D1710" s="159">
        <v>4483164.5599999996</v>
      </c>
      <c r="E1710" s="197" t="s">
        <v>1022</v>
      </c>
      <c r="F1710" s="197" t="s">
        <v>1021</v>
      </c>
      <c r="G1710" s="160">
        <v>4484571.12</v>
      </c>
      <c r="H1710" s="161">
        <v>42639</v>
      </c>
      <c r="I1710" s="161">
        <v>42661</v>
      </c>
      <c r="J1710" s="162">
        <v>4483164.5599999996</v>
      </c>
      <c r="K1710" s="162">
        <v>4483164.5599999996</v>
      </c>
      <c r="L1710" s="198"/>
      <c r="M1710" s="199"/>
      <c r="N1710" s="200">
        <v>1</v>
      </c>
      <c r="O1710" s="699"/>
      <c r="P1710" s="176"/>
      <c r="Q1710" s="201" t="s">
        <v>1121</v>
      </c>
      <c r="R1710" s="168"/>
      <c r="S1710" s="19"/>
      <c r="T1710" s="19"/>
      <c r="U1710" s="19"/>
      <c r="V1710" s="19"/>
    </row>
    <row r="1711" spans="1:22" ht="49.5" outlineLevel="1" x14ac:dyDescent="0.25">
      <c r="A1711" s="1070"/>
      <c r="B1711" s="1064"/>
      <c r="C1711" s="356" t="s">
        <v>37</v>
      </c>
      <c r="D1711" s="357">
        <v>98625.279999999999</v>
      </c>
      <c r="E1711" s="361" t="s">
        <v>576</v>
      </c>
      <c r="F1711" s="358" t="s">
        <v>586</v>
      </c>
      <c r="G1711" s="359">
        <v>98625.279999999999</v>
      </c>
      <c r="H1711" s="360">
        <v>42429</v>
      </c>
      <c r="I1711" s="360">
        <v>42593</v>
      </c>
      <c r="J1711" s="361">
        <v>98625.279999999999</v>
      </c>
      <c r="K1711" s="361">
        <v>98625.279999999999</v>
      </c>
      <c r="L1711" s="360"/>
      <c r="M1711" s="361"/>
      <c r="N1711" s="362"/>
      <c r="O1711" s="466" t="s">
        <v>733</v>
      </c>
      <c r="P1711" s="176"/>
      <c r="Q1711" s="177"/>
      <c r="R1711" s="132"/>
    </row>
    <row r="1712" spans="1:22" ht="17.25" outlineLevel="1" thickBot="1" x14ac:dyDescent="0.3">
      <c r="A1712" s="1006" t="s">
        <v>628</v>
      </c>
      <c r="B1712" s="1007"/>
      <c r="C1712" s="691"/>
      <c r="D1712" s="480">
        <f>SUM(D1710:D1711)</f>
        <v>4581789.84</v>
      </c>
      <c r="E1712" s="239"/>
      <c r="F1712" s="239"/>
      <c r="G1712" s="693">
        <f>SUM(G1710:G1711)</f>
        <v>4583196.4000000004</v>
      </c>
      <c r="H1712" s="239"/>
      <c r="I1712" s="321"/>
      <c r="J1712" s="480">
        <f>SUM(J1710:J1711)</f>
        <v>4581789.84</v>
      </c>
      <c r="K1712" s="480">
        <f>SUM(K1710:K1711)</f>
        <v>4581789.84</v>
      </c>
      <c r="L1712" s="482"/>
      <c r="M1712" s="480"/>
      <c r="N1712" s="421">
        <f>AVERAGE(N1710:N1711)</f>
        <v>1</v>
      </c>
      <c r="O1712" s="694"/>
      <c r="P1712" s="176"/>
      <c r="Q1712" s="177"/>
      <c r="R1712" s="132"/>
    </row>
    <row r="1713" spans="1:22" s="5" customFormat="1" ht="32.25" customHeight="1" x14ac:dyDescent="0.25">
      <c r="A1713" s="1069">
        <v>32</v>
      </c>
      <c r="B1713" s="1080" t="s">
        <v>350</v>
      </c>
      <c r="C1713" s="278" t="s">
        <v>500</v>
      </c>
      <c r="D1713" s="159">
        <v>7098698.6699999999</v>
      </c>
      <c r="E1713" s="197" t="s">
        <v>952</v>
      </c>
      <c r="F1713" s="197" t="s">
        <v>953</v>
      </c>
      <c r="G1713" s="160">
        <v>7098698.6699999999</v>
      </c>
      <c r="H1713" s="161">
        <v>42622</v>
      </c>
      <c r="I1713" s="161">
        <v>42641</v>
      </c>
      <c r="J1713" s="162">
        <v>5943822.8399999999</v>
      </c>
      <c r="K1713" s="162">
        <v>5943822.8399999999</v>
      </c>
      <c r="L1713" s="198"/>
      <c r="M1713" s="199"/>
      <c r="N1713" s="376">
        <v>1</v>
      </c>
      <c r="O1713" s="699"/>
      <c r="P1713" s="176"/>
      <c r="Q1713" s="201" t="s">
        <v>1114</v>
      </c>
      <c r="R1713" s="168"/>
      <c r="S1713" s="19"/>
      <c r="T1713" s="19"/>
      <c r="U1713" s="19"/>
      <c r="V1713" s="19"/>
    </row>
    <row r="1714" spans="1:22" ht="49.5" outlineLevel="1" x14ac:dyDescent="0.25">
      <c r="A1714" s="1070"/>
      <c r="B1714" s="1064"/>
      <c r="C1714" s="356" t="s">
        <v>37</v>
      </c>
      <c r="D1714" s="357">
        <v>99404.92</v>
      </c>
      <c r="E1714" s="361" t="s">
        <v>576</v>
      </c>
      <c r="F1714" s="358" t="s">
        <v>586</v>
      </c>
      <c r="G1714" s="359">
        <v>99404.92</v>
      </c>
      <c r="H1714" s="360">
        <v>42429</v>
      </c>
      <c r="I1714" s="360">
        <v>42593</v>
      </c>
      <c r="J1714" s="361">
        <v>99404.92</v>
      </c>
      <c r="K1714" s="361">
        <v>99404.92</v>
      </c>
      <c r="L1714" s="360"/>
      <c r="M1714" s="361"/>
      <c r="N1714" s="362"/>
      <c r="O1714" s="466" t="s">
        <v>733</v>
      </c>
      <c r="P1714" s="176"/>
      <c r="Q1714" s="177"/>
      <c r="R1714" s="132"/>
    </row>
    <row r="1715" spans="1:22" ht="17.25" outlineLevel="1" thickBot="1" x14ac:dyDescent="0.3">
      <c r="A1715" s="1010" t="s">
        <v>628</v>
      </c>
      <c r="B1715" s="1011"/>
      <c r="C1715" s="607"/>
      <c r="D1715" s="577">
        <f>SUM(D1713:D1714)</f>
        <v>7198103.5899999999</v>
      </c>
      <c r="E1715" s="247"/>
      <c r="F1715" s="247"/>
      <c r="G1715" s="706">
        <f>SUM(G1713:G1714)</f>
        <v>7198103.5899999999</v>
      </c>
      <c r="H1715" s="247"/>
      <c r="I1715" s="277"/>
      <c r="J1715" s="577">
        <f>SUM(J1713:J1714)</f>
        <v>6043227.7599999998</v>
      </c>
      <c r="K1715" s="577">
        <f>SUM(K1713:K1714)</f>
        <v>6043227.7599999998</v>
      </c>
      <c r="L1715" s="579"/>
      <c r="M1715" s="577"/>
      <c r="N1715" s="606">
        <f>AVERAGE(N1713:N1714)</f>
        <v>1</v>
      </c>
      <c r="O1715" s="707"/>
      <c r="P1715" s="241"/>
      <c r="Q1715" s="242"/>
      <c r="R1715" s="132"/>
    </row>
    <row r="1716" spans="1:22" s="75" customFormat="1" ht="16.5" outlineLevel="1" x14ac:dyDescent="0.25">
      <c r="A1716" s="1136">
        <v>33</v>
      </c>
      <c r="B1716" s="1150" t="s">
        <v>757</v>
      </c>
      <c r="C1716" s="667" t="s">
        <v>34</v>
      </c>
      <c r="D1716" s="668">
        <v>7489998.0800000001</v>
      </c>
      <c r="E1716" s="987" t="s">
        <v>1196</v>
      </c>
      <c r="F1716" s="987" t="s">
        <v>830</v>
      </c>
      <c r="G1716" s="830">
        <v>7489998.0800000001</v>
      </c>
      <c r="H1716" s="1142">
        <v>42704</v>
      </c>
      <c r="I1716" s="206">
        <v>42732</v>
      </c>
      <c r="J1716" s="487"/>
      <c r="K1716" s="831"/>
      <c r="L1716" s="832"/>
      <c r="M1716" s="831"/>
      <c r="N1716" s="833">
        <v>0</v>
      </c>
      <c r="O1716" s="670"/>
      <c r="P1716" s="834">
        <v>2017</v>
      </c>
      <c r="Q1716" s="835"/>
      <c r="R1716" s="383"/>
      <c r="S1716" s="67"/>
      <c r="T1716" s="67"/>
      <c r="U1716" s="67"/>
      <c r="V1716" s="67"/>
    </row>
    <row r="1717" spans="1:22" ht="16.5" outlineLevel="1" x14ac:dyDescent="0.25">
      <c r="A1717" s="1143"/>
      <c r="B1717" s="1039"/>
      <c r="C1717" s="342" t="s">
        <v>35</v>
      </c>
      <c r="D1717" s="339">
        <v>4868080.5599999996</v>
      </c>
      <c r="E1717" s="988"/>
      <c r="F1717" s="988"/>
      <c r="G1717" s="836">
        <v>4868080.5599999996</v>
      </c>
      <c r="H1717" s="988"/>
      <c r="I1717" s="172"/>
      <c r="J1717" s="173"/>
      <c r="K1717" s="338"/>
      <c r="L1717" s="340"/>
      <c r="M1717" s="338"/>
      <c r="N1717" s="837">
        <v>0</v>
      </c>
      <c r="O1717" s="301"/>
      <c r="P1717" s="176">
        <v>2017</v>
      </c>
      <c r="Q1717" s="177"/>
      <c r="R1717" s="132"/>
    </row>
    <row r="1718" spans="1:22" ht="16.5" outlineLevel="1" x14ac:dyDescent="0.25">
      <c r="A1718" s="1143"/>
      <c r="B1718" s="1039"/>
      <c r="C1718" s="342" t="s">
        <v>36</v>
      </c>
      <c r="D1718" s="575">
        <v>641060.96</v>
      </c>
      <c r="E1718" s="989"/>
      <c r="F1718" s="989"/>
      <c r="G1718" s="828">
        <v>641060.96</v>
      </c>
      <c r="H1718" s="989"/>
      <c r="I1718" s="402"/>
      <c r="J1718" s="403"/>
      <c r="K1718" s="643"/>
      <c r="L1718" s="644"/>
      <c r="M1718" s="576"/>
      <c r="N1718" s="838">
        <v>0</v>
      </c>
      <c r="O1718" s="839"/>
      <c r="P1718" s="241">
        <v>2017</v>
      </c>
      <c r="Q1718" s="177"/>
      <c r="R1718" s="132"/>
    </row>
    <row r="1719" spans="1:22" ht="33.75" outlineLevel="1" thickBot="1" x14ac:dyDescent="0.3">
      <c r="A1719" s="1143"/>
      <c r="B1719" s="1039"/>
      <c r="C1719" s="607" t="s">
        <v>37</v>
      </c>
      <c r="D1719" s="840">
        <v>217620</v>
      </c>
      <c r="E1719" s="841"/>
      <c r="F1719" s="841"/>
      <c r="G1719" s="842"/>
      <c r="H1719" s="841"/>
      <c r="I1719" s="843"/>
      <c r="J1719" s="844"/>
      <c r="K1719" s="583"/>
      <c r="L1719" s="340"/>
      <c r="M1719" s="338"/>
      <c r="N1719" s="837"/>
      <c r="O1719" s="342"/>
      <c r="P1719" s="343"/>
      <c r="Q1719" s="845" t="s">
        <v>1143</v>
      </c>
      <c r="R1719" s="132"/>
    </row>
    <row r="1720" spans="1:22" s="4" customFormat="1" ht="17.25" outlineLevel="1" thickBot="1" x14ac:dyDescent="0.3">
      <c r="A1720" s="1097" t="s">
        <v>628</v>
      </c>
      <c r="B1720" s="1098"/>
      <c r="C1720" s="846"/>
      <c r="D1720" s="437">
        <f>SUM(D1716:D1719)</f>
        <v>13216759.600000001</v>
      </c>
      <c r="E1720" s="847"/>
      <c r="F1720" s="847"/>
      <c r="G1720" s="437">
        <f>SUM(G1716:G1719)</f>
        <v>12999139.600000001</v>
      </c>
      <c r="H1720" s="847"/>
      <c r="I1720" s="442"/>
      <c r="J1720" s="437">
        <f t="shared" ref="J1720:K1720" si="128">SUM(J1716:J1719)</f>
        <v>0</v>
      </c>
      <c r="K1720" s="848">
        <f t="shared" si="128"/>
        <v>0</v>
      </c>
      <c r="L1720" s="340"/>
      <c r="M1720" s="338"/>
      <c r="N1720" s="341">
        <f>AVERAGE(N1716:N1718)</f>
        <v>0</v>
      </c>
      <c r="O1720" s="342"/>
      <c r="P1720" s="343"/>
      <c r="Q1720" s="132"/>
      <c r="R1720" s="132"/>
      <c r="S1720" s="18"/>
      <c r="T1720" s="18"/>
      <c r="U1720" s="18"/>
      <c r="V1720" s="18"/>
    </row>
    <row r="1721" spans="1:22" s="25" customFormat="1" ht="19.5" customHeight="1" outlineLevel="1" x14ac:dyDescent="0.25">
      <c r="A1721" s="673"/>
      <c r="B1721" s="1151" t="s">
        <v>1097</v>
      </c>
      <c r="C1721" s="1151"/>
      <c r="D1721" s="643">
        <v>2085815.2</v>
      </c>
      <c r="E1721" s="689"/>
      <c r="F1721" s="403"/>
      <c r="G1721" s="643">
        <f>SUM(G1722:G1731)</f>
        <v>2085815.2000000002</v>
      </c>
      <c r="H1721" s="849"/>
      <c r="I1721" s="402"/>
      <c r="J1721" s="643"/>
      <c r="K1721" s="850"/>
      <c r="L1721" s="340"/>
      <c r="M1721" s="338"/>
      <c r="N1721" s="341"/>
      <c r="O1721" s="342"/>
      <c r="P1721" s="343"/>
      <c r="Q1721" s="335"/>
      <c r="R1721" s="335"/>
      <c r="S1721" s="2"/>
      <c r="T1721" s="2"/>
      <c r="U1721" s="2"/>
      <c r="V1721" s="2"/>
    </row>
    <row r="1722" spans="1:22" s="94" customFormat="1" ht="33" customHeight="1" outlineLevel="1" x14ac:dyDescent="0.25">
      <c r="A1722" s="851"/>
      <c r="B1722" s="806" t="s">
        <v>1293</v>
      </c>
      <c r="C1722" s="337" t="s">
        <v>37</v>
      </c>
      <c r="D1722" s="805"/>
      <c r="E1722" s="999" t="s">
        <v>1296</v>
      </c>
      <c r="F1722" s="1000" t="s">
        <v>1298</v>
      </c>
      <c r="G1722" s="805">
        <v>263529.40000000002</v>
      </c>
      <c r="H1722" s="1133">
        <v>42732</v>
      </c>
      <c r="I1722" s="852"/>
      <c r="J1722" s="853"/>
      <c r="K1722" s="854"/>
      <c r="L1722" s="855"/>
      <c r="M1722" s="853"/>
      <c r="N1722" s="856"/>
      <c r="O1722" s="857"/>
      <c r="P1722" s="858"/>
      <c r="Q1722" s="795"/>
      <c r="R1722" s="795"/>
      <c r="S1722" s="92"/>
      <c r="T1722" s="92"/>
      <c r="U1722" s="92"/>
      <c r="V1722" s="92"/>
    </row>
    <row r="1723" spans="1:22" s="94" customFormat="1" ht="27.75" customHeight="1" outlineLevel="1" x14ac:dyDescent="0.25">
      <c r="A1723" s="851"/>
      <c r="B1723" s="806" t="s">
        <v>26</v>
      </c>
      <c r="C1723" s="337" t="s">
        <v>37</v>
      </c>
      <c r="D1723" s="805"/>
      <c r="E1723" s="999"/>
      <c r="F1723" s="1000"/>
      <c r="G1723" s="805">
        <v>256012.79999999999</v>
      </c>
      <c r="H1723" s="1133"/>
      <c r="I1723" s="852"/>
      <c r="J1723" s="853"/>
      <c r="K1723" s="854"/>
      <c r="L1723" s="855"/>
      <c r="M1723" s="853"/>
      <c r="N1723" s="856"/>
      <c r="O1723" s="857"/>
      <c r="P1723" s="858"/>
      <c r="Q1723" s="795"/>
      <c r="R1723" s="795"/>
      <c r="S1723" s="92"/>
      <c r="T1723" s="92"/>
      <c r="U1723" s="92"/>
      <c r="V1723" s="92"/>
    </row>
    <row r="1724" spans="1:22" s="94" customFormat="1" ht="19.5" customHeight="1" outlineLevel="1" x14ac:dyDescent="0.25">
      <c r="A1724" s="851"/>
      <c r="B1724" s="806" t="s">
        <v>27</v>
      </c>
      <c r="C1724" s="337" t="s">
        <v>37</v>
      </c>
      <c r="D1724" s="805"/>
      <c r="E1724" s="999"/>
      <c r="F1724" s="1000"/>
      <c r="G1724" s="805">
        <v>255518.38</v>
      </c>
      <c r="H1724" s="1133"/>
      <c r="I1724" s="852"/>
      <c r="J1724" s="853"/>
      <c r="K1724" s="854"/>
      <c r="L1724" s="855"/>
      <c r="M1724" s="853"/>
      <c r="N1724" s="856"/>
      <c r="O1724" s="857"/>
      <c r="P1724" s="858"/>
      <c r="Q1724" s="795"/>
      <c r="R1724" s="795"/>
      <c r="S1724" s="92"/>
      <c r="T1724" s="92"/>
      <c r="U1724" s="92"/>
      <c r="V1724" s="92"/>
    </row>
    <row r="1725" spans="1:22" s="94" customFormat="1" ht="19.5" customHeight="1" outlineLevel="1" x14ac:dyDescent="0.25">
      <c r="A1725" s="806"/>
      <c r="B1725" s="806" t="s">
        <v>28</v>
      </c>
      <c r="C1725" s="337" t="s">
        <v>37</v>
      </c>
      <c r="D1725" s="805"/>
      <c r="E1725" s="999"/>
      <c r="F1725" s="1000"/>
      <c r="G1725" s="805">
        <v>236881.46</v>
      </c>
      <c r="H1725" s="1133"/>
      <c r="I1725" s="852"/>
      <c r="J1725" s="853"/>
      <c r="K1725" s="854"/>
      <c r="L1725" s="855"/>
      <c r="M1725" s="853"/>
      <c r="N1725" s="856"/>
      <c r="O1725" s="857"/>
      <c r="P1725" s="858"/>
      <c r="Q1725" s="795"/>
      <c r="R1725" s="795"/>
      <c r="S1725" s="92"/>
      <c r="T1725" s="92"/>
      <c r="U1725" s="92"/>
      <c r="V1725" s="92"/>
    </row>
    <row r="1726" spans="1:22" s="94" customFormat="1" ht="30" customHeight="1" outlineLevel="1" x14ac:dyDescent="0.25">
      <c r="A1726" s="796"/>
      <c r="B1726" s="1151" t="s">
        <v>1294</v>
      </c>
      <c r="C1726" s="400" t="s">
        <v>37</v>
      </c>
      <c r="D1726" s="797"/>
      <c r="E1726" s="689" t="s">
        <v>1296</v>
      </c>
      <c r="F1726" s="403" t="s">
        <v>1298</v>
      </c>
      <c r="G1726" s="859">
        <v>361124.84</v>
      </c>
      <c r="H1726" s="179">
        <v>42732</v>
      </c>
      <c r="I1726" s="860"/>
      <c r="J1726" s="861"/>
      <c r="K1726" s="861"/>
      <c r="L1726" s="862"/>
      <c r="M1726" s="861"/>
      <c r="N1726" s="863"/>
      <c r="O1726" s="864"/>
      <c r="P1726" s="865"/>
      <c r="Q1726" s="804"/>
      <c r="R1726" s="795"/>
      <c r="S1726" s="92"/>
      <c r="T1726" s="92"/>
      <c r="U1726" s="92"/>
      <c r="V1726" s="92"/>
    </row>
    <row r="1727" spans="1:22" s="94" customFormat="1" ht="30" customHeight="1" outlineLevel="1" x14ac:dyDescent="0.25">
      <c r="A1727" s="796"/>
      <c r="B1727" s="1066"/>
      <c r="C1727" s="337" t="s">
        <v>37</v>
      </c>
      <c r="D1727" s="805"/>
      <c r="E1727" s="702" t="s">
        <v>1299</v>
      </c>
      <c r="F1727" s="173" t="s">
        <v>862</v>
      </c>
      <c r="G1727" s="169">
        <v>96440.22</v>
      </c>
      <c r="H1727" s="171">
        <v>42791</v>
      </c>
      <c r="I1727" s="852"/>
      <c r="J1727" s="853"/>
      <c r="K1727" s="853"/>
      <c r="L1727" s="855"/>
      <c r="M1727" s="853"/>
      <c r="N1727" s="856"/>
      <c r="O1727" s="857"/>
      <c r="P1727" s="858"/>
      <c r="Q1727" s="804"/>
      <c r="R1727" s="795"/>
      <c r="S1727" s="92"/>
      <c r="T1727" s="92"/>
      <c r="U1727" s="92"/>
      <c r="V1727" s="92"/>
    </row>
    <row r="1728" spans="1:22" s="94" customFormat="1" ht="33.75" customHeight="1" outlineLevel="1" x14ac:dyDescent="0.25">
      <c r="A1728" s="796"/>
      <c r="B1728" s="1066" t="s">
        <v>1295</v>
      </c>
      <c r="C1728" s="337" t="s">
        <v>37</v>
      </c>
      <c r="D1728" s="805"/>
      <c r="E1728" s="702" t="s">
        <v>1296</v>
      </c>
      <c r="F1728" s="173" t="s">
        <v>1298</v>
      </c>
      <c r="G1728" s="169">
        <v>360683.52000000002</v>
      </c>
      <c r="H1728" s="171">
        <v>42732</v>
      </c>
      <c r="I1728" s="852"/>
      <c r="J1728" s="853"/>
      <c r="K1728" s="853"/>
      <c r="L1728" s="855"/>
      <c r="M1728" s="853"/>
      <c r="N1728" s="856"/>
      <c r="O1728" s="857"/>
      <c r="P1728" s="858"/>
      <c r="Q1728" s="804"/>
      <c r="R1728" s="795"/>
      <c r="S1728" s="92"/>
      <c r="T1728" s="92"/>
      <c r="U1728" s="92"/>
      <c r="V1728" s="92"/>
    </row>
    <row r="1729" spans="1:22" s="94" customFormat="1" ht="33.75" customHeight="1" outlineLevel="1" x14ac:dyDescent="0.25">
      <c r="A1729" s="796"/>
      <c r="B1729" s="1066"/>
      <c r="C1729" s="337" t="s">
        <v>37</v>
      </c>
      <c r="D1729" s="805"/>
      <c r="E1729" s="702" t="s">
        <v>1299</v>
      </c>
      <c r="F1729" s="173" t="s">
        <v>862</v>
      </c>
      <c r="G1729" s="169">
        <v>96351.72</v>
      </c>
      <c r="H1729" s="171">
        <v>42791</v>
      </c>
      <c r="I1729" s="852"/>
      <c r="J1729" s="853"/>
      <c r="K1729" s="853"/>
      <c r="L1729" s="855"/>
      <c r="M1729" s="853"/>
      <c r="N1729" s="856"/>
      <c r="O1729" s="857"/>
      <c r="P1729" s="858"/>
      <c r="Q1729" s="804"/>
      <c r="R1729" s="795"/>
      <c r="S1729" s="92"/>
      <c r="T1729" s="92"/>
      <c r="U1729" s="92"/>
      <c r="V1729" s="92"/>
    </row>
    <row r="1730" spans="1:22" s="94" customFormat="1" ht="34.5" customHeight="1" outlineLevel="1" x14ac:dyDescent="0.25">
      <c r="A1730" s="796"/>
      <c r="B1730" s="1066" t="s">
        <v>578</v>
      </c>
      <c r="C1730" s="337" t="s">
        <v>37</v>
      </c>
      <c r="D1730" s="805"/>
      <c r="E1730" s="702" t="s">
        <v>1296</v>
      </c>
      <c r="F1730" s="173" t="s">
        <v>1298</v>
      </c>
      <c r="G1730" s="169">
        <v>69786.38</v>
      </c>
      <c r="H1730" s="171">
        <v>42732</v>
      </c>
      <c r="I1730" s="852"/>
      <c r="J1730" s="853"/>
      <c r="K1730" s="853"/>
      <c r="L1730" s="855"/>
      <c r="M1730" s="853"/>
      <c r="N1730" s="856"/>
      <c r="O1730" s="857"/>
      <c r="P1730" s="858"/>
      <c r="Q1730" s="804"/>
      <c r="R1730" s="795"/>
      <c r="S1730" s="92"/>
      <c r="T1730" s="92"/>
      <c r="U1730" s="92"/>
      <c r="V1730" s="92"/>
    </row>
    <row r="1731" spans="1:22" s="94" customFormat="1" ht="34.5" customHeight="1" outlineLevel="1" x14ac:dyDescent="0.25">
      <c r="A1731" s="796"/>
      <c r="B1731" s="1066"/>
      <c r="C1731" s="337" t="s">
        <v>37</v>
      </c>
      <c r="D1731" s="805"/>
      <c r="E1731" s="702" t="s">
        <v>1299</v>
      </c>
      <c r="F1731" s="173" t="s">
        <v>862</v>
      </c>
      <c r="G1731" s="169">
        <v>89486.48</v>
      </c>
      <c r="H1731" s="171">
        <v>42791</v>
      </c>
      <c r="I1731" s="852"/>
      <c r="J1731" s="853"/>
      <c r="K1731" s="853"/>
      <c r="L1731" s="855"/>
      <c r="M1731" s="853"/>
      <c r="N1731" s="856"/>
      <c r="O1731" s="857"/>
      <c r="P1731" s="858"/>
      <c r="Q1731" s="804"/>
      <c r="R1731" s="795"/>
      <c r="S1731" s="92"/>
      <c r="T1731" s="92"/>
      <c r="U1731" s="92"/>
      <c r="V1731" s="92"/>
    </row>
    <row r="1732" spans="1:22" ht="17.25" outlineLevel="1" thickBot="1" x14ac:dyDescent="0.3">
      <c r="A1732" s="1014" t="s">
        <v>629</v>
      </c>
      <c r="B1732" s="1015"/>
      <c r="C1732" s="344"/>
      <c r="D1732" s="349">
        <f>SUM(D1720,D1715,D1712,D1709,D1705,D1701,D1696,D1691,D1688,D1685,D1680,D1677,D1674,D1669,D1666,D1663,D1660,D1657,D1654,D1651,D1648,D1645,D1642,D1639,D1636,D1634,D1631,D1628,D1625,D1622,D1619,D1612,D1609,D1721)</f>
        <v>292338099.47999996</v>
      </c>
      <c r="E1732" s="346"/>
      <c r="F1732" s="346"/>
      <c r="G1732" s="345">
        <f>SUM(G1715,G1712,G1709,G1705,G1701,G1696,G1691,G1688,G1685,G1680,G1677,G1674,G1669,G1666,G1663,G1660,G1657,G1654,G1651,G1648,G1645,G1642,G1639,G1636,G1634,G1631,G1628,G1625,G1622,G1619,G1612,G1609,G1720,G1721)</f>
        <v>292415297.69</v>
      </c>
      <c r="H1732" s="346"/>
      <c r="I1732" s="347"/>
      <c r="J1732" s="349">
        <f>SUM(J1715,J1712,J1709,J1705,J1701,J1696,J1691,J1688,J1685,J1680,J1677,J1674,J1669,J1666,J1663,J1660,J1657,J1654,J1651,J1648,J1645,J1642,J1639,J1636,J1634,J1631,J1628,J1625,J1622,J1619,J1612,J1609,J1720)</f>
        <v>150043042.76999998</v>
      </c>
      <c r="K1732" s="349">
        <f>SUM(K1715,K1712,K1709,K1705,K1701,K1696,K1691,K1688,K1685,K1680,K1677,K1674,K1669,K1666,K1663,K1660,K1657,K1654,K1651,K1648,K1645,K1642,K1639,K1636,K1634,K1631,K1628,K1625,K1622,K1619,K1612,K1609)</f>
        <v>150043042.76999998</v>
      </c>
      <c r="L1732" s="348"/>
      <c r="M1732" s="349"/>
      <c r="N1732" s="866" t="e">
        <f>AVERAGE(N1720,N1715,N1712,N1709,N1705,N1701,N1696,N1691,N1688,N1685,N1680,N1677,N1674,N1669,N1666,N1663,N1660,N1657,N1654,N1651,N1648,N1645,N1642,N1639,N1636,N1634,N1631,N1628,N1625,N1622,N1619,N1612,N1609)</f>
        <v>#DIV/0!</v>
      </c>
      <c r="O1732" s="350"/>
      <c r="P1732" s="351"/>
      <c r="Q1732" s="352"/>
      <c r="R1732" s="132"/>
    </row>
    <row r="1733" spans="1:22" s="5" customFormat="1" ht="30" customHeight="1" thickBot="1" x14ac:dyDescent="0.3">
      <c r="A1733" s="1095" t="s">
        <v>649</v>
      </c>
      <c r="B1733" s="1096"/>
      <c r="C1733" s="1096"/>
      <c r="D1733" s="1096"/>
      <c r="E1733" s="1096"/>
      <c r="F1733" s="1096"/>
      <c r="G1733" s="1096"/>
      <c r="H1733" s="1096"/>
      <c r="I1733" s="1096"/>
      <c r="J1733" s="1096"/>
      <c r="K1733" s="1096"/>
      <c r="L1733" s="1096"/>
      <c r="M1733" s="1096"/>
      <c r="N1733" s="1096"/>
      <c r="O1733" s="1096"/>
      <c r="P1733" s="245"/>
      <c r="Q1733" s="252"/>
      <c r="R1733" s="168"/>
      <c r="S1733" s="19"/>
      <c r="T1733" s="19"/>
      <c r="U1733" s="19"/>
      <c r="V1733" s="19"/>
    </row>
    <row r="1734" spans="1:22" s="12" customFormat="1" ht="31.5" customHeight="1" x14ac:dyDescent="0.25">
      <c r="A1734" s="1071">
        <v>1</v>
      </c>
      <c r="B1734" s="1089" t="s">
        <v>356</v>
      </c>
      <c r="C1734" s="159" t="s">
        <v>34</v>
      </c>
      <c r="D1734" s="159">
        <v>2651521.2200000002</v>
      </c>
      <c r="E1734" s="509" t="s">
        <v>1025</v>
      </c>
      <c r="F1734" s="509" t="s">
        <v>1026</v>
      </c>
      <c r="G1734" s="830">
        <v>2651521.2200000002</v>
      </c>
      <c r="H1734" s="206">
        <v>42612</v>
      </c>
      <c r="I1734" s="161">
        <v>42698</v>
      </c>
      <c r="J1734" s="162">
        <v>3252272.61</v>
      </c>
      <c r="K1734" s="162">
        <v>3252272.61</v>
      </c>
      <c r="L1734" s="161">
        <v>42730</v>
      </c>
      <c r="M1734" s="162"/>
      <c r="N1734" s="213">
        <v>1</v>
      </c>
      <c r="O1734" s="736"/>
      <c r="P1734" s="867"/>
      <c r="Q1734" s="280" t="s">
        <v>1118</v>
      </c>
      <c r="R1734" s="868"/>
      <c r="S1734" s="22"/>
      <c r="T1734" s="22"/>
      <c r="U1734" s="22"/>
      <c r="V1734" s="22"/>
    </row>
    <row r="1735" spans="1:22" s="31" customFormat="1" ht="33" outlineLevel="1" x14ac:dyDescent="0.25">
      <c r="A1735" s="1072"/>
      <c r="B1735" s="1090"/>
      <c r="C1735" s="208" t="s">
        <v>35</v>
      </c>
      <c r="D1735" s="505">
        <v>429841.39</v>
      </c>
      <c r="E1735" s="253" t="s">
        <v>1025</v>
      </c>
      <c r="F1735" s="253" t="s">
        <v>1026</v>
      </c>
      <c r="G1735" s="163">
        <v>429841.39</v>
      </c>
      <c r="H1735" s="210">
        <v>42612</v>
      </c>
      <c r="I1735" s="637">
        <v>42698</v>
      </c>
      <c r="J1735" s="163">
        <v>272678.99</v>
      </c>
      <c r="K1735" s="163">
        <v>272678.99</v>
      </c>
      <c r="L1735" s="257">
        <v>42730</v>
      </c>
      <c r="M1735" s="163"/>
      <c r="N1735" s="213">
        <v>1</v>
      </c>
      <c r="O1735" s="733"/>
      <c r="P1735" s="867"/>
      <c r="Q1735" s="201" t="s">
        <v>1114</v>
      </c>
      <c r="R1735" s="869"/>
      <c r="S1735" s="30"/>
      <c r="T1735" s="30"/>
      <c r="U1735" s="30"/>
      <c r="V1735" s="30"/>
    </row>
    <row r="1736" spans="1:22" s="31" customFormat="1" ht="33" outlineLevel="1" x14ac:dyDescent="0.25">
      <c r="A1736" s="1072"/>
      <c r="B1736" s="1090"/>
      <c r="C1736" s="208" t="s">
        <v>36</v>
      </c>
      <c r="D1736" s="505">
        <v>572000</v>
      </c>
      <c r="E1736" s="253" t="s">
        <v>1025</v>
      </c>
      <c r="F1736" s="253" t="s">
        <v>1026</v>
      </c>
      <c r="G1736" s="208">
        <v>472317.68</v>
      </c>
      <c r="H1736" s="210">
        <v>42612</v>
      </c>
      <c r="I1736" s="637">
        <v>42698</v>
      </c>
      <c r="J1736" s="163">
        <v>312681.52</v>
      </c>
      <c r="K1736" s="163">
        <v>312681.52</v>
      </c>
      <c r="L1736" s="210">
        <v>42730</v>
      </c>
      <c r="M1736" s="163"/>
      <c r="N1736" s="213">
        <v>1</v>
      </c>
      <c r="O1736" s="733"/>
      <c r="P1736" s="867"/>
      <c r="Q1736" s="201" t="s">
        <v>1114</v>
      </c>
      <c r="R1736" s="869"/>
      <c r="S1736" s="30"/>
      <c r="T1736" s="30"/>
      <c r="U1736" s="30"/>
      <c r="V1736" s="30"/>
    </row>
    <row r="1737" spans="1:22" s="31" customFormat="1" ht="33" outlineLevel="1" x14ac:dyDescent="0.25">
      <c r="A1737" s="1072"/>
      <c r="B1737" s="1090"/>
      <c r="C1737" s="208" t="s">
        <v>501</v>
      </c>
      <c r="D1737" s="208">
        <v>4570000</v>
      </c>
      <c r="E1737" s="275" t="s">
        <v>1083</v>
      </c>
      <c r="F1737" s="273" t="s">
        <v>794</v>
      </c>
      <c r="G1737" s="274">
        <v>4570000</v>
      </c>
      <c r="H1737" s="212">
        <v>42887</v>
      </c>
      <c r="I1737" s="210">
        <v>42704</v>
      </c>
      <c r="J1737" s="163">
        <v>3902361.73</v>
      </c>
      <c r="K1737" s="163">
        <v>3902361.73</v>
      </c>
      <c r="L1737" s="210"/>
      <c r="M1737" s="163"/>
      <c r="N1737" s="460">
        <v>0</v>
      </c>
      <c r="O1737" s="733"/>
      <c r="P1737" s="867">
        <v>2017</v>
      </c>
      <c r="Q1737" s="870"/>
      <c r="R1737" s="869"/>
      <c r="S1737" s="30"/>
      <c r="T1737" s="30"/>
      <c r="U1737" s="30"/>
      <c r="V1737" s="30"/>
    </row>
    <row r="1738" spans="1:22" s="31" customFormat="1" ht="49.5" outlineLevel="1" x14ac:dyDescent="0.25">
      <c r="A1738" s="1072"/>
      <c r="B1738" s="1090"/>
      <c r="C1738" s="356" t="s">
        <v>37</v>
      </c>
      <c r="D1738" s="357">
        <v>142050.06</v>
      </c>
      <c r="E1738" s="361" t="s">
        <v>550</v>
      </c>
      <c r="F1738" s="358" t="s">
        <v>541</v>
      </c>
      <c r="G1738" s="359">
        <f>120497.28*1.18</f>
        <v>142186.7904</v>
      </c>
      <c r="H1738" s="360">
        <v>42460</v>
      </c>
      <c r="I1738" s="360">
        <v>42593</v>
      </c>
      <c r="J1738" s="361">
        <v>142050.06</v>
      </c>
      <c r="K1738" s="361">
        <v>142050.06</v>
      </c>
      <c r="L1738" s="360"/>
      <c r="M1738" s="361"/>
      <c r="N1738" s="362"/>
      <c r="O1738" s="466" t="s">
        <v>758</v>
      </c>
      <c r="P1738" s="867"/>
      <c r="Q1738" s="870"/>
      <c r="R1738" s="869"/>
      <c r="S1738" s="30"/>
      <c r="T1738" s="30"/>
      <c r="U1738" s="30"/>
      <c r="V1738" s="30"/>
    </row>
    <row r="1739" spans="1:22" s="11" customFormat="1" ht="33" outlineLevel="1" x14ac:dyDescent="0.25">
      <c r="A1739" s="1082"/>
      <c r="B1739" s="1081"/>
      <c r="C1739" s="286" t="s">
        <v>1095</v>
      </c>
      <c r="D1739" s="246">
        <v>175979.95985399999</v>
      </c>
      <c r="E1739" s="705"/>
      <c r="F1739" s="310"/>
      <c r="G1739" s="708"/>
      <c r="H1739" s="308"/>
      <c r="I1739" s="308"/>
      <c r="J1739" s="310"/>
      <c r="K1739" s="310"/>
      <c r="L1739" s="308"/>
      <c r="M1739" s="310"/>
      <c r="N1739" s="709"/>
      <c r="O1739" s="287"/>
      <c r="P1739" s="176"/>
      <c r="Q1739" s="446"/>
      <c r="R1739" s="335"/>
      <c r="S1739" s="2"/>
      <c r="T1739" s="2"/>
      <c r="U1739" s="2"/>
      <c r="V1739" s="2"/>
    </row>
    <row r="1740" spans="1:22" s="31" customFormat="1" ht="18" outlineLevel="1" thickBot="1" x14ac:dyDescent="0.3">
      <c r="A1740" s="1006" t="s">
        <v>628</v>
      </c>
      <c r="B1740" s="1007"/>
      <c r="C1740" s="481"/>
      <c r="D1740" s="480">
        <f>SUM(D1734:D1739)</f>
        <v>8541392.6298539992</v>
      </c>
      <c r="E1740" s="871"/>
      <c r="F1740" s="871"/>
      <c r="G1740" s="693">
        <f>SUM(G1734:G1738)</f>
        <v>8265867.0804000013</v>
      </c>
      <c r="H1740" s="871"/>
      <c r="I1740" s="872"/>
      <c r="J1740" s="480">
        <f>SUM(J1734:J1738)</f>
        <v>7882044.9099999992</v>
      </c>
      <c r="K1740" s="480">
        <f>SUM(K1734:K1738)</f>
        <v>7882044.9099999992</v>
      </c>
      <c r="L1740" s="482"/>
      <c r="M1740" s="480"/>
      <c r="N1740" s="421">
        <f>AVERAGE(N1734:N1738)</f>
        <v>0.75</v>
      </c>
      <c r="O1740" s="713"/>
      <c r="P1740" s="867"/>
      <c r="Q1740" s="870"/>
      <c r="R1740" s="869"/>
      <c r="S1740" s="30"/>
      <c r="T1740" s="30"/>
      <c r="U1740" s="30"/>
      <c r="V1740" s="30"/>
    </row>
    <row r="1741" spans="1:22" s="12" customFormat="1" ht="33" x14ac:dyDescent="0.25">
      <c r="A1741" s="1071">
        <v>2</v>
      </c>
      <c r="B1741" s="1073" t="s">
        <v>359</v>
      </c>
      <c r="C1741" s="278" t="s">
        <v>36</v>
      </c>
      <c r="D1741" s="159">
        <v>580000</v>
      </c>
      <c r="E1741" s="197" t="s">
        <v>1025</v>
      </c>
      <c r="F1741" s="253" t="s">
        <v>1026</v>
      </c>
      <c r="G1741" s="160">
        <v>482159.65</v>
      </c>
      <c r="H1741" s="161">
        <v>42612</v>
      </c>
      <c r="I1741" s="161">
        <v>42698</v>
      </c>
      <c r="J1741" s="162">
        <v>333354.01</v>
      </c>
      <c r="K1741" s="162">
        <v>333354.01</v>
      </c>
      <c r="L1741" s="161">
        <v>42730</v>
      </c>
      <c r="M1741" s="873"/>
      <c r="N1741" s="213">
        <v>1</v>
      </c>
      <c r="O1741" s="699"/>
      <c r="P1741" s="867"/>
      <c r="Q1741" s="201" t="s">
        <v>1114</v>
      </c>
      <c r="R1741" s="868"/>
      <c r="S1741" s="22"/>
      <c r="T1741" s="22"/>
      <c r="U1741" s="22"/>
      <c r="V1741" s="22"/>
    </row>
    <row r="1742" spans="1:22" s="31" customFormat="1" ht="33" outlineLevel="1" x14ac:dyDescent="0.25">
      <c r="A1742" s="1072"/>
      <c r="B1742" s="1074"/>
      <c r="C1742" s="281" t="s">
        <v>500</v>
      </c>
      <c r="D1742" s="208">
        <v>3503000</v>
      </c>
      <c r="E1742" s="163" t="s">
        <v>1025</v>
      </c>
      <c r="F1742" s="253" t="s">
        <v>1026</v>
      </c>
      <c r="G1742" s="209">
        <v>3203457.03</v>
      </c>
      <c r="H1742" s="210">
        <v>42643</v>
      </c>
      <c r="I1742" s="210">
        <v>42698</v>
      </c>
      <c r="J1742" s="163">
        <v>2940789.88</v>
      </c>
      <c r="K1742" s="163">
        <v>2940789.8799999994</v>
      </c>
      <c r="L1742" s="210">
        <v>42730</v>
      </c>
      <c r="M1742" s="163"/>
      <c r="N1742" s="213">
        <v>1</v>
      </c>
      <c r="O1742" s="704"/>
      <c r="P1742" s="867"/>
      <c r="Q1742" s="201" t="s">
        <v>1114</v>
      </c>
      <c r="R1742" s="869"/>
      <c r="S1742" s="30"/>
      <c r="T1742" s="30"/>
      <c r="U1742" s="30"/>
      <c r="V1742" s="30"/>
    </row>
    <row r="1743" spans="1:22" s="31" customFormat="1" ht="17.25" outlineLevel="1" x14ac:dyDescent="0.25">
      <c r="A1743" s="1072"/>
      <c r="B1743" s="1074"/>
      <c r="C1743" s="342" t="s">
        <v>508</v>
      </c>
      <c r="D1743" s="339">
        <v>1500000</v>
      </c>
      <c r="E1743" s="173"/>
      <c r="F1743" s="432"/>
      <c r="G1743" s="703"/>
      <c r="H1743" s="171">
        <v>42887</v>
      </c>
      <c r="I1743" s="172"/>
      <c r="J1743" s="173"/>
      <c r="K1743" s="173"/>
      <c r="L1743" s="171"/>
      <c r="M1743" s="173"/>
      <c r="N1743" s="460">
        <v>0</v>
      </c>
      <c r="O1743" s="704"/>
      <c r="P1743" s="867"/>
      <c r="Q1743" s="201" t="s">
        <v>1145</v>
      </c>
      <c r="R1743" s="869"/>
      <c r="S1743" s="30"/>
      <c r="T1743" s="30"/>
      <c r="U1743" s="30"/>
      <c r="V1743" s="30"/>
    </row>
    <row r="1744" spans="1:22" s="31" customFormat="1" ht="49.5" outlineLevel="1" x14ac:dyDescent="0.25">
      <c r="A1744" s="1072"/>
      <c r="B1744" s="1074"/>
      <c r="C1744" s="356" t="s">
        <v>37</v>
      </c>
      <c r="D1744" s="357">
        <v>75517.14</v>
      </c>
      <c r="E1744" s="361" t="s">
        <v>550</v>
      </c>
      <c r="F1744" s="358" t="s">
        <v>541</v>
      </c>
      <c r="G1744" s="359">
        <f>85683.6*1.18</f>
        <v>101106.648</v>
      </c>
      <c r="H1744" s="360">
        <v>42460</v>
      </c>
      <c r="I1744" s="360">
        <v>42593</v>
      </c>
      <c r="J1744" s="361">
        <v>75517.14</v>
      </c>
      <c r="K1744" s="361">
        <v>75517.14</v>
      </c>
      <c r="L1744" s="360"/>
      <c r="M1744" s="361"/>
      <c r="N1744" s="362"/>
      <c r="O1744" s="466" t="s">
        <v>758</v>
      </c>
      <c r="P1744" s="867"/>
      <c r="Q1744" s="870"/>
      <c r="R1744" s="869"/>
      <c r="S1744" s="30"/>
      <c r="T1744" s="30"/>
      <c r="U1744" s="30"/>
      <c r="V1744" s="30"/>
    </row>
    <row r="1745" spans="1:22" s="11" customFormat="1" ht="33" outlineLevel="1" x14ac:dyDescent="0.25">
      <c r="A1745" s="1082"/>
      <c r="B1745" s="1088"/>
      <c r="C1745" s="286" t="s">
        <v>1095</v>
      </c>
      <c r="D1745" s="246">
        <v>87376.2</v>
      </c>
      <c r="E1745" s="705"/>
      <c r="F1745" s="310"/>
      <c r="G1745" s="708"/>
      <c r="H1745" s="308"/>
      <c r="I1745" s="308"/>
      <c r="J1745" s="310"/>
      <c r="K1745" s="310"/>
      <c r="L1745" s="308"/>
      <c r="M1745" s="310"/>
      <c r="N1745" s="709"/>
      <c r="O1745" s="287"/>
      <c r="P1745" s="176"/>
      <c r="Q1745" s="446"/>
      <c r="R1745" s="335"/>
      <c r="S1745" s="2"/>
      <c r="T1745" s="2"/>
      <c r="U1745" s="2"/>
      <c r="V1745" s="2"/>
    </row>
    <row r="1746" spans="1:22" s="31" customFormat="1" ht="18" outlineLevel="1" thickBot="1" x14ac:dyDescent="0.3">
      <c r="A1746" s="1010" t="s">
        <v>628</v>
      </c>
      <c r="B1746" s="1011"/>
      <c r="C1746" s="607"/>
      <c r="D1746" s="577">
        <f>SUM(D1741:D1745)</f>
        <v>5745893.3399999999</v>
      </c>
      <c r="E1746" s="874"/>
      <c r="F1746" s="874"/>
      <c r="G1746" s="706">
        <f>SUM(G1741:G1744)</f>
        <v>3786723.3279999997</v>
      </c>
      <c r="H1746" s="874"/>
      <c r="I1746" s="875"/>
      <c r="J1746" s="577">
        <f>SUM(J1741:J1744)</f>
        <v>3349661.03</v>
      </c>
      <c r="K1746" s="577">
        <f>SUM(K1741:K1744)</f>
        <v>3349661.03</v>
      </c>
      <c r="L1746" s="579"/>
      <c r="M1746" s="577"/>
      <c r="N1746" s="421">
        <f>AVERAGE(N1741:N1744)</f>
        <v>0.66666666666666663</v>
      </c>
      <c r="O1746" s="694"/>
      <c r="P1746" s="867"/>
      <c r="Q1746" s="870"/>
      <c r="R1746" s="869"/>
      <c r="S1746" s="30"/>
      <c r="T1746" s="30"/>
      <c r="U1746" s="30"/>
      <c r="V1746" s="30"/>
    </row>
    <row r="1747" spans="1:22" s="12" customFormat="1" ht="31.5" customHeight="1" x14ac:dyDescent="0.25">
      <c r="A1747" s="1071">
        <v>3</v>
      </c>
      <c r="B1747" s="1089" t="s">
        <v>357</v>
      </c>
      <c r="C1747" s="159" t="s">
        <v>34</v>
      </c>
      <c r="D1747" s="159">
        <v>2668763.2400000002</v>
      </c>
      <c r="E1747" s="197" t="s">
        <v>1025</v>
      </c>
      <c r="F1747" s="197" t="s">
        <v>1026</v>
      </c>
      <c r="G1747" s="160">
        <v>2668763.2400000002</v>
      </c>
      <c r="H1747" s="161">
        <v>42612</v>
      </c>
      <c r="I1747" s="161">
        <v>42698</v>
      </c>
      <c r="J1747" s="162">
        <v>2387710.9700000002</v>
      </c>
      <c r="K1747" s="162">
        <v>2387710.9699999997</v>
      </c>
      <c r="L1747" s="161">
        <v>42730</v>
      </c>
      <c r="M1747" s="876"/>
      <c r="N1747" s="213">
        <v>1</v>
      </c>
      <c r="O1747" s="736"/>
      <c r="P1747" s="867"/>
      <c r="Q1747" s="280" t="s">
        <v>1118</v>
      </c>
      <c r="R1747" s="868"/>
      <c r="S1747" s="22"/>
      <c r="T1747" s="22"/>
      <c r="U1747" s="22"/>
      <c r="V1747" s="22"/>
    </row>
    <row r="1748" spans="1:22" s="31" customFormat="1" ht="33" outlineLevel="1" x14ac:dyDescent="0.25">
      <c r="A1748" s="1072"/>
      <c r="B1748" s="1090"/>
      <c r="C1748" s="208" t="s">
        <v>500</v>
      </c>
      <c r="D1748" s="208">
        <v>2944000</v>
      </c>
      <c r="E1748" s="253" t="s">
        <v>1025</v>
      </c>
      <c r="F1748" s="253" t="s">
        <v>1026</v>
      </c>
      <c r="G1748" s="209">
        <v>2744120.41</v>
      </c>
      <c r="H1748" s="210">
        <v>42643</v>
      </c>
      <c r="I1748" s="212">
        <v>42698</v>
      </c>
      <c r="J1748" s="163">
        <v>1998683.72</v>
      </c>
      <c r="K1748" s="163">
        <v>1998683.72</v>
      </c>
      <c r="L1748" s="210">
        <v>42730</v>
      </c>
      <c r="M1748" s="535"/>
      <c r="N1748" s="213">
        <v>1</v>
      </c>
      <c r="O1748" s="733"/>
      <c r="P1748" s="867"/>
      <c r="Q1748" s="201" t="s">
        <v>1114</v>
      </c>
      <c r="R1748" s="869"/>
      <c r="S1748" s="30"/>
      <c r="T1748" s="30"/>
      <c r="U1748" s="30"/>
      <c r="V1748" s="30"/>
    </row>
    <row r="1749" spans="1:22" s="31" customFormat="1" ht="49.5" outlineLevel="1" x14ac:dyDescent="0.25">
      <c r="A1749" s="1072"/>
      <c r="B1749" s="1090"/>
      <c r="C1749" s="356" t="s">
        <v>37</v>
      </c>
      <c r="D1749" s="357">
        <v>121295.62</v>
      </c>
      <c r="E1749" s="361" t="s">
        <v>550</v>
      </c>
      <c r="F1749" s="358" t="s">
        <v>541</v>
      </c>
      <c r="G1749" s="359">
        <f>102891.84*1.18</f>
        <v>121412.37119999999</v>
      </c>
      <c r="H1749" s="360">
        <v>42460</v>
      </c>
      <c r="I1749" s="360">
        <v>42593</v>
      </c>
      <c r="J1749" s="361">
        <v>121295.62</v>
      </c>
      <c r="K1749" s="361">
        <v>121295.62</v>
      </c>
      <c r="L1749" s="360"/>
      <c r="M1749" s="538"/>
      <c r="N1749" s="539"/>
      <c r="O1749" s="466" t="s">
        <v>758</v>
      </c>
      <c r="P1749" s="867"/>
      <c r="Q1749" s="870"/>
      <c r="R1749" s="869"/>
      <c r="S1749" s="30"/>
      <c r="T1749" s="30"/>
      <c r="U1749" s="30"/>
      <c r="V1749" s="30"/>
    </row>
    <row r="1750" spans="1:22" s="11" customFormat="1" ht="33" outlineLevel="1" x14ac:dyDescent="0.25">
      <c r="A1750" s="1082"/>
      <c r="B1750" s="1081"/>
      <c r="C1750" s="286" t="s">
        <v>1095</v>
      </c>
      <c r="D1750" s="246">
        <v>120113.133336</v>
      </c>
      <c r="E1750" s="705"/>
      <c r="F1750" s="310"/>
      <c r="G1750" s="708"/>
      <c r="H1750" s="308"/>
      <c r="I1750" s="308"/>
      <c r="J1750" s="310"/>
      <c r="K1750" s="310"/>
      <c r="L1750" s="308"/>
      <c r="M1750" s="310"/>
      <c r="N1750" s="709"/>
      <c r="O1750" s="287"/>
      <c r="P1750" s="176"/>
      <c r="Q1750" s="446"/>
      <c r="R1750" s="335"/>
      <c r="S1750" s="2"/>
      <c r="T1750" s="2"/>
      <c r="U1750" s="2"/>
      <c r="V1750" s="2"/>
    </row>
    <row r="1751" spans="1:22" s="31" customFormat="1" ht="18" outlineLevel="1" thickBot="1" x14ac:dyDescent="0.3">
      <c r="A1751" s="1010" t="s">
        <v>628</v>
      </c>
      <c r="B1751" s="1011"/>
      <c r="C1751" s="585"/>
      <c r="D1751" s="577">
        <f>SUM(D1747:D1750)</f>
        <v>5854171.9933360005</v>
      </c>
      <c r="E1751" s="874"/>
      <c r="F1751" s="874"/>
      <c r="G1751" s="706">
        <f>SUM(G1747:G1749)</f>
        <v>5534296.0212000003</v>
      </c>
      <c r="H1751" s="874"/>
      <c r="I1751" s="875"/>
      <c r="J1751" s="577">
        <f>SUM(J1747:J1749)</f>
        <v>4507690.3100000005</v>
      </c>
      <c r="K1751" s="577">
        <f>SUM(K1747:K1749)</f>
        <v>4507690.3099999996</v>
      </c>
      <c r="L1751" s="579"/>
      <c r="M1751" s="877"/>
      <c r="N1751" s="878">
        <f>AVERAGE(N1747:N1749)</f>
        <v>1</v>
      </c>
      <c r="O1751" s="713"/>
      <c r="P1751" s="867"/>
      <c r="Q1751" s="870"/>
      <c r="R1751" s="869"/>
      <c r="S1751" s="30"/>
      <c r="T1751" s="30"/>
      <c r="U1751" s="30"/>
      <c r="V1751" s="30"/>
    </row>
    <row r="1752" spans="1:22" s="12" customFormat="1" ht="31.5" customHeight="1" x14ac:dyDescent="0.25">
      <c r="A1752" s="1071">
        <v>4</v>
      </c>
      <c r="B1752" s="1089" t="s">
        <v>358</v>
      </c>
      <c r="C1752" s="879" t="s">
        <v>35</v>
      </c>
      <c r="D1752" s="879">
        <v>465645.48</v>
      </c>
      <c r="E1752" s="764" t="s">
        <v>1025</v>
      </c>
      <c r="F1752" s="764" t="s">
        <v>1026</v>
      </c>
      <c r="G1752" s="880">
        <v>465645.48</v>
      </c>
      <c r="H1752" s="769">
        <v>42612</v>
      </c>
      <c r="I1752" s="769">
        <v>42698</v>
      </c>
      <c r="J1752" s="765">
        <v>313364.55</v>
      </c>
      <c r="K1752" s="765">
        <v>313364.54999999993</v>
      </c>
      <c r="L1752" s="769">
        <v>42730</v>
      </c>
      <c r="M1752" s="881"/>
      <c r="N1752" s="882">
        <v>1</v>
      </c>
      <c r="O1752" s="736"/>
      <c r="P1752" s="867"/>
      <c r="Q1752" s="201" t="s">
        <v>1114</v>
      </c>
      <c r="R1752" s="868"/>
      <c r="S1752" s="22"/>
      <c r="T1752" s="22"/>
      <c r="U1752" s="22"/>
      <c r="V1752" s="22"/>
    </row>
    <row r="1753" spans="1:22" s="31" customFormat="1" ht="33" outlineLevel="1" x14ac:dyDescent="0.25">
      <c r="A1753" s="1072"/>
      <c r="B1753" s="1090"/>
      <c r="C1753" s="883" t="s">
        <v>36</v>
      </c>
      <c r="D1753" s="883">
        <v>590000</v>
      </c>
      <c r="E1753" s="759" t="s">
        <v>1025</v>
      </c>
      <c r="F1753" s="758" t="s">
        <v>1026</v>
      </c>
      <c r="G1753" s="884">
        <v>495013.31</v>
      </c>
      <c r="H1753" s="760">
        <v>42612</v>
      </c>
      <c r="I1753" s="760">
        <v>42698</v>
      </c>
      <c r="J1753" s="759">
        <v>312130.61</v>
      </c>
      <c r="K1753" s="759">
        <v>312130.61</v>
      </c>
      <c r="L1753" s="760">
        <v>42730</v>
      </c>
      <c r="M1753" s="885"/>
      <c r="N1753" s="886">
        <v>1</v>
      </c>
      <c r="O1753" s="733"/>
      <c r="P1753" s="867"/>
      <c r="Q1753" s="201" t="s">
        <v>1114</v>
      </c>
      <c r="R1753" s="869"/>
      <c r="S1753" s="30"/>
      <c r="T1753" s="30"/>
      <c r="U1753" s="30"/>
      <c r="V1753" s="30"/>
    </row>
    <row r="1754" spans="1:22" s="31" customFormat="1" ht="17.25" outlineLevel="1" x14ac:dyDescent="0.25">
      <c r="A1754" s="1072"/>
      <c r="B1754" s="1090"/>
      <c r="C1754" s="339" t="s">
        <v>505</v>
      </c>
      <c r="D1754" s="339">
        <v>1100000</v>
      </c>
      <c r="E1754" s="173"/>
      <c r="F1754" s="432"/>
      <c r="G1754" s="703"/>
      <c r="H1754" s="171">
        <v>42887</v>
      </c>
      <c r="I1754" s="172"/>
      <c r="J1754" s="173"/>
      <c r="K1754" s="173"/>
      <c r="L1754" s="171"/>
      <c r="M1754" s="446"/>
      <c r="N1754" s="537">
        <v>0</v>
      </c>
      <c r="O1754" s="733"/>
      <c r="P1754" s="867"/>
      <c r="Q1754" s="201" t="s">
        <v>1145</v>
      </c>
      <c r="R1754" s="869"/>
      <c r="S1754" s="30"/>
      <c r="T1754" s="30"/>
      <c r="U1754" s="30"/>
      <c r="V1754" s="30"/>
    </row>
    <row r="1755" spans="1:22" s="31" customFormat="1" ht="49.5" outlineLevel="1" x14ac:dyDescent="0.25">
      <c r="A1755" s="1072"/>
      <c r="B1755" s="1090"/>
      <c r="C1755" s="356" t="s">
        <v>37</v>
      </c>
      <c r="D1755" s="357">
        <v>69506.009999999995</v>
      </c>
      <c r="E1755" s="361" t="s">
        <v>550</v>
      </c>
      <c r="F1755" s="358" t="s">
        <v>541</v>
      </c>
      <c r="G1755" s="359">
        <f>80518.27*1.18</f>
        <v>95011.558600000004</v>
      </c>
      <c r="H1755" s="360">
        <v>42460</v>
      </c>
      <c r="I1755" s="360">
        <v>42593</v>
      </c>
      <c r="J1755" s="361">
        <v>69506.009999999995</v>
      </c>
      <c r="K1755" s="361">
        <v>69506.009999999995</v>
      </c>
      <c r="L1755" s="360"/>
      <c r="M1755" s="538"/>
      <c r="N1755" s="539"/>
      <c r="O1755" s="466" t="s">
        <v>758</v>
      </c>
      <c r="P1755" s="867"/>
      <c r="Q1755" s="870"/>
      <c r="R1755" s="869"/>
      <c r="S1755" s="30"/>
      <c r="T1755" s="30"/>
      <c r="U1755" s="30"/>
      <c r="V1755" s="30"/>
    </row>
    <row r="1756" spans="1:22" s="11" customFormat="1" ht="33" outlineLevel="1" x14ac:dyDescent="0.25">
      <c r="A1756" s="1082"/>
      <c r="B1756" s="1081"/>
      <c r="C1756" s="286" t="s">
        <v>1095</v>
      </c>
      <c r="D1756" s="246">
        <v>22590.813271999999</v>
      </c>
      <c r="E1756" s="705"/>
      <c r="F1756" s="310"/>
      <c r="G1756" s="708"/>
      <c r="H1756" s="308"/>
      <c r="I1756" s="308"/>
      <c r="J1756" s="310"/>
      <c r="K1756" s="310"/>
      <c r="L1756" s="308"/>
      <c r="M1756" s="310"/>
      <c r="N1756" s="709"/>
      <c r="O1756" s="287"/>
      <c r="P1756" s="176"/>
      <c r="Q1756" s="446"/>
      <c r="R1756" s="335"/>
      <c r="S1756" s="2"/>
      <c r="T1756" s="2"/>
      <c r="U1756" s="2"/>
      <c r="V1756" s="2"/>
    </row>
    <row r="1757" spans="1:22" s="31" customFormat="1" ht="18" outlineLevel="1" thickBot="1" x14ac:dyDescent="0.3">
      <c r="A1757" s="1006" t="s">
        <v>628</v>
      </c>
      <c r="B1757" s="1007"/>
      <c r="C1757" s="481"/>
      <c r="D1757" s="480">
        <f>SUM(D1752:D1756)</f>
        <v>2247742.3032719996</v>
      </c>
      <c r="E1757" s="871"/>
      <c r="F1757" s="871"/>
      <c r="G1757" s="693">
        <f>SUM(G1752:G1755)</f>
        <v>1055670.3486000001</v>
      </c>
      <c r="H1757" s="871"/>
      <c r="I1757" s="872"/>
      <c r="J1757" s="480">
        <f>SUM(J1752:J1755)</f>
        <v>695001.16999999993</v>
      </c>
      <c r="K1757" s="480">
        <f>SUM(K1752:K1755)</f>
        <v>695001.16999999993</v>
      </c>
      <c r="L1757" s="482"/>
      <c r="M1757" s="887"/>
      <c r="N1757" s="878">
        <f>AVERAGE(N1752:N1756)</f>
        <v>0.66666666666666663</v>
      </c>
      <c r="O1757" s="734"/>
      <c r="P1757" s="867"/>
      <c r="Q1757" s="870"/>
      <c r="R1757" s="869"/>
      <c r="S1757" s="30"/>
      <c r="T1757" s="30"/>
      <c r="U1757" s="30"/>
      <c r="V1757" s="30"/>
    </row>
    <row r="1758" spans="1:22" s="12" customFormat="1" ht="15" customHeight="1" x14ac:dyDescent="0.25">
      <c r="A1758" s="1071">
        <v>5</v>
      </c>
      <c r="B1758" s="1073" t="s">
        <v>360</v>
      </c>
      <c r="C1758" s="695" t="s">
        <v>500</v>
      </c>
      <c r="D1758" s="696">
        <v>867000</v>
      </c>
      <c r="E1758" s="220" t="s">
        <v>1025</v>
      </c>
      <c r="F1758" s="220" t="s">
        <v>1026</v>
      </c>
      <c r="G1758" s="698">
        <v>567160.59</v>
      </c>
      <c r="H1758" s="223">
        <v>42643</v>
      </c>
      <c r="I1758" s="223"/>
      <c r="J1758" s="888"/>
      <c r="K1758" s="888"/>
      <c r="L1758" s="889"/>
      <c r="M1758" s="888"/>
      <c r="N1758" s="890">
        <v>0.05</v>
      </c>
      <c r="O1758" s="699"/>
      <c r="P1758" s="867"/>
      <c r="Q1758" s="201" t="s">
        <v>1114</v>
      </c>
      <c r="R1758" s="868"/>
      <c r="S1758" s="22"/>
      <c r="T1758" s="22"/>
      <c r="U1758" s="22"/>
      <c r="V1758" s="22"/>
    </row>
    <row r="1759" spans="1:22" s="31" customFormat="1" ht="49.5" outlineLevel="1" x14ac:dyDescent="0.25">
      <c r="A1759" s="1072"/>
      <c r="B1759" s="1074"/>
      <c r="C1759" s="356" t="s">
        <v>37</v>
      </c>
      <c r="D1759" s="357">
        <v>59969.54</v>
      </c>
      <c r="E1759" s="361" t="s">
        <v>550</v>
      </c>
      <c r="F1759" s="358" t="s">
        <v>541</v>
      </c>
      <c r="G1759" s="359">
        <f>50870.56*1.18</f>
        <v>60027.260799999996</v>
      </c>
      <c r="H1759" s="360">
        <v>42460</v>
      </c>
      <c r="I1759" s="360">
        <v>42593</v>
      </c>
      <c r="J1759" s="361">
        <v>59969.54</v>
      </c>
      <c r="K1759" s="361">
        <v>59969.54</v>
      </c>
      <c r="L1759" s="360"/>
      <c r="M1759" s="361"/>
      <c r="N1759" s="362"/>
      <c r="O1759" s="466" t="s">
        <v>758</v>
      </c>
      <c r="P1759" s="867"/>
      <c r="Q1759" s="870"/>
      <c r="R1759" s="869"/>
      <c r="S1759" s="30"/>
      <c r="T1759" s="30"/>
      <c r="U1759" s="30"/>
      <c r="V1759" s="30"/>
    </row>
    <row r="1760" spans="1:22" s="11" customFormat="1" ht="33" outlineLevel="1" x14ac:dyDescent="0.25">
      <c r="A1760" s="1082"/>
      <c r="B1760" s="1088"/>
      <c r="C1760" s="286" t="s">
        <v>1095</v>
      </c>
      <c r="D1760" s="246">
        <v>18553.8</v>
      </c>
      <c r="E1760" s="705"/>
      <c r="F1760" s="310"/>
      <c r="G1760" s="708"/>
      <c r="H1760" s="308"/>
      <c r="I1760" s="308"/>
      <c r="J1760" s="310"/>
      <c r="K1760" s="310"/>
      <c r="L1760" s="308"/>
      <c r="M1760" s="310"/>
      <c r="N1760" s="709"/>
      <c r="O1760" s="287"/>
      <c r="P1760" s="176"/>
      <c r="Q1760" s="446"/>
      <c r="R1760" s="335"/>
      <c r="S1760" s="2"/>
      <c r="T1760" s="2"/>
      <c r="U1760" s="2"/>
      <c r="V1760" s="2"/>
    </row>
    <row r="1761" spans="1:22" s="31" customFormat="1" ht="18" outlineLevel="1" thickBot="1" x14ac:dyDescent="0.3">
      <c r="A1761" s="1006" t="s">
        <v>628</v>
      </c>
      <c r="B1761" s="1007"/>
      <c r="C1761" s="481"/>
      <c r="D1761" s="480">
        <f>SUM(D1758:D1760)</f>
        <v>945523.34000000008</v>
      </c>
      <c r="E1761" s="871"/>
      <c r="F1761" s="871"/>
      <c r="G1761" s="693">
        <f>SUM(G1758:G1759)</f>
        <v>627187.85080000001</v>
      </c>
      <c r="H1761" s="871"/>
      <c r="I1761" s="872"/>
      <c r="J1761" s="480">
        <f>SUM(J1758:J1759)</f>
        <v>59969.54</v>
      </c>
      <c r="K1761" s="480">
        <f>SUM(K1758:K1759)</f>
        <v>59969.54</v>
      </c>
      <c r="L1761" s="482"/>
      <c r="M1761" s="480"/>
      <c r="N1761" s="421">
        <f>AVERAGE(N1758:N1759)</f>
        <v>0.05</v>
      </c>
      <c r="O1761" s="713"/>
      <c r="P1761" s="867"/>
      <c r="Q1761" s="870"/>
      <c r="R1761" s="869"/>
      <c r="S1761" s="30"/>
      <c r="T1761" s="30"/>
      <c r="U1761" s="30"/>
      <c r="V1761" s="30"/>
    </row>
    <row r="1762" spans="1:22" s="12" customFormat="1" ht="49.5" x14ac:dyDescent="0.25">
      <c r="A1762" s="1071">
        <v>6</v>
      </c>
      <c r="B1762" s="1073" t="s">
        <v>361</v>
      </c>
      <c r="C1762" s="278" t="s">
        <v>500</v>
      </c>
      <c r="D1762" s="159">
        <v>4665864.95</v>
      </c>
      <c r="E1762" s="197" t="s">
        <v>1085</v>
      </c>
      <c r="F1762" s="197" t="s">
        <v>794</v>
      </c>
      <c r="G1762" s="160">
        <v>4665864.95</v>
      </c>
      <c r="H1762" s="161">
        <v>42672</v>
      </c>
      <c r="I1762" s="161">
        <v>42695</v>
      </c>
      <c r="J1762" s="162">
        <v>3047298.15</v>
      </c>
      <c r="K1762" s="162">
        <v>3047298.15</v>
      </c>
      <c r="L1762" s="161">
        <v>42725</v>
      </c>
      <c r="M1762" s="873"/>
      <c r="N1762" s="891">
        <v>0</v>
      </c>
      <c r="O1762" s="699"/>
      <c r="P1762" s="867"/>
      <c r="Q1762" s="201" t="s">
        <v>1161</v>
      </c>
      <c r="R1762" s="868"/>
      <c r="S1762" s="22"/>
      <c r="T1762" s="22"/>
      <c r="U1762" s="22"/>
      <c r="V1762" s="22"/>
    </row>
    <row r="1763" spans="1:22" s="31" customFormat="1" ht="49.5" outlineLevel="1" x14ac:dyDescent="0.25">
      <c r="A1763" s="1072"/>
      <c r="B1763" s="1074"/>
      <c r="C1763" s="356" t="s">
        <v>37</v>
      </c>
      <c r="D1763" s="357">
        <v>106949.39</v>
      </c>
      <c r="E1763" s="361" t="s">
        <v>550</v>
      </c>
      <c r="F1763" s="358" t="s">
        <v>541</v>
      </c>
      <c r="G1763" s="359">
        <f>90722.32*1.18</f>
        <v>107052.3376</v>
      </c>
      <c r="H1763" s="360">
        <v>42460</v>
      </c>
      <c r="I1763" s="360">
        <v>42593</v>
      </c>
      <c r="J1763" s="361">
        <v>106949.39000000001</v>
      </c>
      <c r="K1763" s="361">
        <v>106949.39000000001</v>
      </c>
      <c r="L1763" s="360"/>
      <c r="M1763" s="361"/>
      <c r="N1763" s="362"/>
      <c r="O1763" s="466" t="s">
        <v>758</v>
      </c>
      <c r="P1763" s="867"/>
      <c r="Q1763" s="870"/>
      <c r="R1763" s="869"/>
      <c r="S1763" s="30"/>
      <c r="T1763" s="30"/>
      <c r="U1763" s="30"/>
      <c r="V1763" s="30"/>
    </row>
    <row r="1764" spans="1:22" s="11" customFormat="1" ht="33" outlineLevel="1" x14ac:dyDescent="0.25">
      <c r="A1764" s="1082"/>
      <c r="B1764" s="1088"/>
      <c r="C1764" s="286" t="s">
        <v>1095</v>
      </c>
      <c r="D1764" s="246">
        <v>99849.50993</v>
      </c>
      <c r="E1764" s="705"/>
      <c r="F1764" s="310"/>
      <c r="G1764" s="708"/>
      <c r="H1764" s="308"/>
      <c r="I1764" s="308"/>
      <c r="J1764" s="310"/>
      <c r="K1764" s="310"/>
      <c r="L1764" s="308"/>
      <c r="M1764" s="310"/>
      <c r="N1764" s="709"/>
      <c r="O1764" s="287"/>
      <c r="P1764" s="176"/>
      <c r="Q1764" s="446"/>
      <c r="R1764" s="335"/>
      <c r="S1764" s="2"/>
      <c r="T1764" s="2"/>
      <c r="U1764" s="2"/>
      <c r="V1764" s="2"/>
    </row>
    <row r="1765" spans="1:22" s="31" customFormat="1" ht="18" outlineLevel="1" thickBot="1" x14ac:dyDescent="0.3">
      <c r="A1765" s="1006" t="s">
        <v>628</v>
      </c>
      <c r="B1765" s="1007"/>
      <c r="C1765" s="481"/>
      <c r="D1765" s="480">
        <f>SUM(D1762:D1764)</f>
        <v>4872663.8499299996</v>
      </c>
      <c r="E1765" s="871"/>
      <c r="F1765" s="871"/>
      <c r="G1765" s="693">
        <f>SUM(G1762:G1763)</f>
        <v>4772917.2876000004</v>
      </c>
      <c r="H1765" s="871"/>
      <c r="I1765" s="872"/>
      <c r="J1765" s="480">
        <f>SUM(J1762:J1763)</f>
        <v>3154247.54</v>
      </c>
      <c r="K1765" s="480">
        <f>SUM(K1762:K1763)</f>
        <v>3154247.54</v>
      </c>
      <c r="L1765" s="482"/>
      <c r="M1765" s="480"/>
      <c r="N1765" s="421">
        <f>AVERAGE(N1762:N1763)</f>
        <v>0</v>
      </c>
      <c r="O1765" s="713"/>
      <c r="P1765" s="867"/>
      <c r="Q1765" s="870"/>
      <c r="R1765" s="869"/>
      <c r="S1765" s="30"/>
      <c r="T1765" s="30"/>
      <c r="U1765" s="30"/>
      <c r="V1765" s="30"/>
    </row>
    <row r="1766" spans="1:22" s="12" customFormat="1" ht="33.75" customHeight="1" x14ac:dyDescent="0.25">
      <c r="A1766" s="892">
        <v>7</v>
      </c>
      <c r="B1766" s="893" t="s">
        <v>364</v>
      </c>
      <c r="C1766" s="695" t="s">
        <v>501</v>
      </c>
      <c r="D1766" s="696">
        <v>5392130</v>
      </c>
      <c r="E1766" s="894"/>
      <c r="F1766" s="894"/>
      <c r="G1766" s="698"/>
      <c r="H1766" s="223">
        <v>42887</v>
      </c>
      <c r="I1766" s="895"/>
      <c r="J1766" s="888"/>
      <c r="K1766" s="888"/>
      <c r="L1766" s="889"/>
      <c r="M1766" s="888"/>
      <c r="N1766" s="890">
        <v>0</v>
      </c>
      <c r="O1766" s="699"/>
      <c r="P1766" s="867"/>
      <c r="Q1766" s="201" t="s">
        <v>1144</v>
      </c>
      <c r="R1766" s="868"/>
      <c r="S1766" s="22"/>
      <c r="T1766" s="22"/>
      <c r="U1766" s="22"/>
      <c r="V1766" s="22"/>
    </row>
    <row r="1767" spans="1:22" s="31" customFormat="1" ht="18" outlineLevel="1" thickBot="1" x14ac:dyDescent="0.3">
      <c r="A1767" s="1010" t="s">
        <v>628</v>
      </c>
      <c r="B1767" s="1011"/>
      <c r="C1767" s="585"/>
      <c r="D1767" s="480">
        <f>SUM(D1766:D1766)</f>
        <v>5392130</v>
      </c>
      <c r="E1767" s="874"/>
      <c r="F1767" s="874"/>
      <c r="G1767" s="693">
        <f>SUM(G1766:G1766)</f>
        <v>0</v>
      </c>
      <c r="H1767" s="874"/>
      <c r="I1767" s="875"/>
      <c r="J1767" s="896"/>
      <c r="K1767" s="480">
        <f>SUM(K1766:K1766)</f>
        <v>0</v>
      </c>
      <c r="L1767" s="579"/>
      <c r="M1767" s="577"/>
      <c r="N1767" s="421">
        <f>AVERAGE(N1766:N1766)</f>
        <v>0</v>
      </c>
      <c r="O1767" s="734"/>
      <c r="P1767" s="867"/>
      <c r="Q1767" s="870"/>
      <c r="R1767" s="869"/>
      <c r="S1767" s="30"/>
      <c r="T1767" s="30"/>
      <c r="U1767" s="30"/>
      <c r="V1767" s="30"/>
    </row>
    <row r="1768" spans="1:22" s="12" customFormat="1" ht="33" x14ac:dyDescent="0.25">
      <c r="A1768" s="1071">
        <v>8</v>
      </c>
      <c r="B1768" s="1073" t="s">
        <v>362</v>
      </c>
      <c r="C1768" s="278" t="s">
        <v>500</v>
      </c>
      <c r="D1768" s="159">
        <v>1965561.06</v>
      </c>
      <c r="E1768" s="197" t="s">
        <v>1085</v>
      </c>
      <c r="F1768" s="197" t="s">
        <v>794</v>
      </c>
      <c r="G1768" s="160">
        <v>1965561.06</v>
      </c>
      <c r="H1768" s="161">
        <v>42645</v>
      </c>
      <c r="I1768" s="161">
        <v>42695</v>
      </c>
      <c r="J1768" s="162">
        <v>1129804.26</v>
      </c>
      <c r="K1768" s="162">
        <v>1129804.26</v>
      </c>
      <c r="L1768" s="161">
        <v>42725</v>
      </c>
      <c r="M1768" s="873"/>
      <c r="N1768" s="891">
        <v>0.9</v>
      </c>
      <c r="O1768" s="699"/>
      <c r="P1768" s="867"/>
      <c r="Q1768" s="201" t="s">
        <v>1114</v>
      </c>
      <c r="R1768" s="868"/>
      <c r="S1768" s="22"/>
      <c r="T1768" s="22"/>
      <c r="U1768" s="22"/>
      <c r="V1768" s="22"/>
    </row>
    <row r="1769" spans="1:22" s="31" customFormat="1" ht="49.5" outlineLevel="1" x14ac:dyDescent="0.25">
      <c r="A1769" s="1072"/>
      <c r="B1769" s="1074"/>
      <c r="C1769" s="356" t="s">
        <v>37</v>
      </c>
      <c r="D1769" s="357">
        <v>72137.48</v>
      </c>
      <c r="E1769" s="361" t="s">
        <v>550</v>
      </c>
      <c r="F1769" s="358" t="s">
        <v>541</v>
      </c>
      <c r="G1769" s="359">
        <f>61192.3*1.18</f>
        <v>72206.914000000004</v>
      </c>
      <c r="H1769" s="360">
        <v>42460</v>
      </c>
      <c r="I1769" s="360">
        <v>42593</v>
      </c>
      <c r="J1769" s="361">
        <v>72137.48000000001</v>
      </c>
      <c r="K1769" s="361">
        <v>72137.48000000001</v>
      </c>
      <c r="L1769" s="360"/>
      <c r="M1769" s="361"/>
      <c r="N1769" s="362"/>
      <c r="O1769" s="466" t="s">
        <v>758</v>
      </c>
      <c r="P1769" s="867"/>
      <c r="Q1769" s="870"/>
      <c r="R1769" s="869"/>
      <c r="S1769" s="30"/>
      <c r="T1769" s="30"/>
      <c r="U1769" s="30"/>
      <c r="V1769" s="30"/>
    </row>
    <row r="1770" spans="1:22" s="11" customFormat="1" ht="33" outlineLevel="1" x14ac:dyDescent="0.25">
      <c r="A1770" s="1082"/>
      <c r="B1770" s="1088"/>
      <c r="C1770" s="286" t="s">
        <v>1095</v>
      </c>
      <c r="D1770" s="246">
        <v>42063.006684</v>
      </c>
      <c r="E1770" s="705"/>
      <c r="F1770" s="310"/>
      <c r="G1770" s="708"/>
      <c r="H1770" s="308"/>
      <c r="I1770" s="308"/>
      <c r="J1770" s="310"/>
      <c r="K1770" s="310"/>
      <c r="L1770" s="308"/>
      <c r="M1770" s="310"/>
      <c r="N1770" s="709"/>
      <c r="O1770" s="287"/>
      <c r="P1770" s="176"/>
      <c r="Q1770" s="446"/>
      <c r="R1770" s="335"/>
      <c r="S1770" s="2"/>
      <c r="T1770" s="2"/>
      <c r="U1770" s="2"/>
      <c r="V1770" s="2"/>
    </row>
    <row r="1771" spans="1:22" s="31" customFormat="1" ht="18" outlineLevel="1" thickBot="1" x14ac:dyDescent="0.3">
      <c r="A1771" s="1006" t="s">
        <v>628</v>
      </c>
      <c r="B1771" s="1007"/>
      <c r="C1771" s="481"/>
      <c r="D1771" s="480">
        <f>SUM(D1768:D1770)</f>
        <v>2079761.5466839999</v>
      </c>
      <c r="E1771" s="871"/>
      <c r="F1771" s="871"/>
      <c r="G1771" s="693">
        <f>SUM(G1768:G1769)</f>
        <v>2037767.9740000002</v>
      </c>
      <c r="H1771" s="871"/>
      <c r="I1771" s="872"/>
      <c r="J1771" s="480">
        <f>SUM(J1768:J1769)</f>
        <v>1201941.74</v>
      </c>
      <c r="K1771" s="480">
        <f>SUM(K1768:K1769)</f>
        <v>1201941.74</v>
      </c>
      <c r="L1771" s="482"/>
      <c r="M1771" s="480"/>
      <c r="N1771" s="421">
        <f>AVERAGE(N1768:N1769)</f>
        <v>0.9</v>
      </c>
      <c r="O1771" s="713"/>
      <c r="P1771" s="867"/>
      <c r="Q1771" s="870"/>
      <c r="R1771" s="869"/>
      <c r="S1771" s="30"/>
      <c r="T1771" s="30"/>
      <c r="U1771" s="30"/>
      <c r="V1771" s="30"/>
    </row>
    <row r="1772" spans="1:22" s="12" customFormat="1" ht="31.5" customHeight="1" x14ac:dyDescent="0.25">
      <c r="A1772" s="1071">
        <v>9</v>
      </c>
      <c r="B1772" s="1073" t="s">
        <v>363</v>
      </c>
      <c r="C1772" s="278" t="s">
        <v>500</v>
      </c>
      <c r="D1772" s="159">
        <v>2248573.9900000002</v>
      </c>
      <c r="E1772" s="197" t="s">
        <v>1085</v>
      </c>
      <c r="F1772" s="197" t="s">
        <v>794</v>
      </c>
      <c r="G1772" s="160">
        <v>2248573.9900000002</v>
      </c>
      <c r="H1772" s="161">
        <v>42672</v>
      </c>
      <c r="I1772" s="161">
        <v>42695</v>
      </c>
      <c r="J1772" s="162">
        <v>1433220.55</v>
      </c>
      <c r="K1772" s="162">
        <v>1433220.55</v>
      </c>
      <c r="L1772" s="161">
        <v>42725</v>
      </c>
      <c r="M1772" s="873"/>
      <c r="N1772" s="891">
        <v>0.7</v>
      </c>
      <c r="O1772" s="699"/>
      <c r="P1772" s="867"/>
      <c r="Q1772" s="201" t="s">
        <v>1161</v>
      </c>
      <c r="R1772" s="868"/>
      <c r="S1772" s="22"/>
      <c r="T1772" s="22"/>
      <c r="U1772" s="22"/>
      <c r="V1772" s="22"/>
    </row>
    <row r="1773" spans="1:22" s="31" customFormat="1" ht="49.5" outlineLevel="1" x14ac:dyDescent="0.25">
      <c r="A1773" s="1072"/>
      <c r="B1773" s="1074"/>
      <c r="C1773" s="356" t="s">
        <v>37</v>
      </c>
      <c r="D1773" s="357">
        <v>74223.23</v>
      </c>
      <c r="E1773" s="361" t="s">
        <v>550</v>
      </c>
      <c r="F1773" s="358" t="s">
        <v>541</v>
      </c>
      <c r="G1773" s="359">
        <f>62961.58*1.18</f>
        <v>74294.664399999994</v>
      </c>
      <c r="H1773" s="360">
        <v>42460</v>
      </c>
      <c r="I1773" s="360">
        <v>42593</v>
      </c>
      <c r="J1773" s="361">
        <v>74223.23</v>
      </c>
      <c r="K1773" s="361">
        <v>74223.22</v>
      </c>
      <c r="L1773" s="360"/>
      <c r="M1773" s="361"/>
      <c r="N1773" s="362"/>
      <c r="O1773" s="466" t="s">
        <v>758</v>
      </c>
      <c r="P1773" s="867"/>
      <c r="Q1773" s="870"/>
      <c r="R1773" s="869"/>
      <c r="S1773" s="30"/>
      <c r="T1773" s="30"/>
      <c r="U1773" s="30"/>
      <c r="V1773" s="30"/>
    </row>
    <row r="1774" spans="1:22" s="11" customFormat="1" ht="33" outlineLevel="1" x14ac:dyDescent="0.25">
      <c r="A1774" s="1082"/>
      <c r="B1774" s="1088"/>
      <c r="C1774" s="286" t="s">
        <v>1095</v>
      </c>
      <c r="D1774" s="246">
        <v>48119.483386</v>
      </c>
      <c r="E1774" s="705"/>
      <c r="F1774" s="310"/>
      <c r="G1774" s="708"/>
      <c r="H1774" s="308"/>
      <c r="I1774" s="308"/>
      <c r="J1774" s="310"/>
      <c r="K1774" s="310"/>
      <c r="L1774" s="308"/>
      <c r="M1774" s="310"/>
      <c r="N1774" s="709"/>
      <c r="O1774" s="287"/>
      <c r="P1774" s="176"/>
      <c r="Q1774" s="446"/>
      <c r="R1774" s="335"/>
      <c r="S1774" s="2"/>
      <c r="T1774" s="2"/>
      <c r="U1774" s="2"/>
      <c r="V1774" s="2"/>
    </row>
    <row r="1775" spans="1:22" s="31" customFormat="1" ht="18" outlineLevel="1" thickBot="1" x14ac:dyDescent="0.3">
      <c r="A1775" s="1006" t="s">
        <v>628</v>
      </c>
      <c r="B1775" s="1007"/>
      <c r="C1775" s="481"/>
      <c r="D1775" s="480">
        <f>SUM(D1772:D1774)</f>
        <v>2370916.7033860004</v>
      </c>
      <c r="E1775" s="871"/>
      <c r="F1775" s="871"/>
      <c r="G1775" s="693">
        <f>SUM(G1772:G1773)</f>
        <v>2322868.6544000003</v>
      </c>
      <c r="H1775" s="871"/>
      <c r="I1775" s="872"/>
      <c r="J1775" s="480">
        <f>SUM(J1772:J1773)</f>
        <v>1507443.78</v>
      </c>
      <c r="K1775" s="480">
        <f>SUM(K1772:K1773)</f>
        <v>1507443.77</v>
      </c>
      <c r="L1775" s="482"/>
      <c r="M1775" s="480"/>
      <c r="N1775" s="421">
        <f>AVERAGE(N1772:N1773)</f>
        <v>0.7</v>
      </c>
      <c r="O1775" s="713"/>
      <c r="P1775" s="867"/>
      <c r="Q1775" s="870"/>
      <c r="R1775" s="869"/>
      <c r="S1775" s="30"/>
      <c r="T1775" s="30"/>
      <c r="U1775" s="30"/>
      <c r="V1775" s="30"/>
    </row>
    <row r="1776" spans="1:22" s="8" customFormat="1" ht="19.5" customHeight="1" outlineLevel="1" thickBot="1" x14ac:dyDescent="0.3">
      <c r="A1776" s="436"/>
      <c r="B1776" s="1078" t="s">
        <v>1097</v>
      </c>
      <c r="C1776" s="1079"/>
      <c r="D1776" s="437">
        <v>1437920.02</v>
      </c>
      <c r="E1776" s="438"/>
      <c r="F1776" s="439"/>
      <c r="G1776" s="440">
        <f>SUM(G1777:G1784)</f>
        <v>1437920.03</v>
      </c>
      <c r="H1776" s="441"/>
      <c r="I1776" s="442"/>
      <c r="J1776" s="437"/>
      <c r="K1776" s="641"/>
      <c r="L1776" s="672"/>
      <c r="M1776" s="324"/>
      <c r="N1776" s="331"/>
      <c r="O1776" s="332"/>
      <c r="P1776" s="241"/>
      <c r="Q1776" s="412"/>
      <c r="R1776" s="335"/>
      <c r="S1776" s="2"/>
      <c r="T1776" s="2"/>
      <c r="U1776" s="2"/>
      <c r="V1776" s="2"/>
    </row>
    <row r="1777" spans="1:22" s="25" customFormat="1" ht="36.75" customHeight="1" outlineLevel="1" x14ac:dyDescent="0.25">
      <c r="A1777" s="673"/>
      <c r="B1777" s="673" t="s">
        <v>1426</v>
      </c>
      <c r="C1777" s="400" t="s">
        <v>37</v>
      </c>
      <c r="D1777" s="643"/>
      <c r="E1777" s="1132" t="s">
        <v>1434</v>
      </c>
      <c r="F1777" s="1170" t="s">
        <v>1021</v>
      </c>
      <c r="G1777" s="575">
        <v>126471.6</v>
      </c>
      <c r="H1777" s="1157">
        <v>42760</v>
      </c>
      <c r="I1777" s="402"/>
      <c r="J1777" s="643"/>
      <c r="K1777" s="643"/>
      <c r="L1777" s="340"/>
      <c r="M1777" s="338"/>
      <c r="N1777" s="341"/>
      <c r="O1777" s="342"/>
      <c r="P1777" s="343"/>
      <c r="Q1777" s="173"/>
      <c r="R1777" s="335"/>
      <c r="S1777" s="2"/>
      <c r="T1777" s="2"/>
      <c r="U1777" s="2"/>
      <c r="V1777" s="2"/>
    </row>
    <row r="1778" spans="1:22" s="25" customFormat="1" ht="30" customHeight="1" outlineLevel="1" x14ac:dyDescent="0.25">
      <c r="A1778" s="336"/>
      <c r="B1778" s="336" t="s">
        <v>1427</v>
      </c>
      <c r="C1778" s="337" t="s">
        <v>37</v>
      </c>
      <c r="D1778" s="338"/>
      <c r="E1778" s="999"/>
      <c r="F1778" s="1000"/>
      <c r="G1778" s="339">
        <v>119570.96</v>
      </c>
      <c r="H1778" s="1133"/>
      <c r="I1778" s="172"/>
      <c r="J1778" s="338"/>
      <c r="K1778" s="338"/>
      <c r="L1778" s="340"/>
      <c r="M1778" s="338"/>
      <c r="N1778" s="341"/>
      <c r="O1778" s="342"/>
      <c r="P1778" s="343"/>
      <c r="Q1778" s="173"/>
      <c r="R1778" s="335"/>
      <c r="S1778" s="2"/>
      <c r="T1778" s="2"/>
      <c r="U1778" s="2"/>
      <c r="V1778" s="2"/>
    </row>
    <row r="1779" spans="1:22" s="25" customFormat="1" ht="29.25" customHeight="1" outlineLevel="1" x14ac:dyDescent="0.25">
      <c r="A1779" s="336"/>
      <c r="B1779" s="336" t="s">
        <v>1428</v>
      </c>
      <c r="C1779" s="337" t="s">
        <v>37</v>
      </c>
      <c r="D1779" s="338"/>
      <c r="E1779" s="999"/>
      <c r="F1779" s="1000"/>
      <c r="G1779" s="339">
        <v>119729.48</v>
      </c>
      <c r="H1779" s="1133"/>
      <c r="I1779" s="172"/>
      <c r="J1779" s="338"/>
      <c r="K1779" s="338"/>
      <c r="L1779" s="340"/>
      <c r="M1779" s="338"/>
      <c r="N1779" s="341"/>
      <c r="O1779" s="342"/>
      <c r="P1779" s="343"/>
      <c r="Q1779" s="173"/>
      <c r="R1779" s="335"/>
      <c r="S1779" s="2"/>
      <c r="T1779" s="2"/>
      <c r="U1779" s="2"/>
      <c r="V1779" s="2"/>
    </row>
    <row r="1780" spans="1:22" s="25" customFormat="1" ht="29.25" customHeight="1" outlineLevel="1" x14ac:dyDescent="0.25">
      <c r="A1780" s="336"/>
      <c r="B1780" s="336" t="s">
        <v>1429</v>
      </c>
      <c r="C1780" s="337" t="s">
        <v>37</v>
      </c>
      <c r="D1780" s="338"/>
      <c r="E1780" s="999"/>
      <c r="F1780" s="1000"/>
      <c r="G1780" s="339">
        <v>119878.68</v>
      </c>
      <c r="H1780" s="1133"/>
      <c r="I1780" s="172"/>
      <c r="J1780" s="338"/>
      <c r="K1780" s="338"/>
      <c r="L1780" s="340"/>
      <c r="M1780" s="338"/>
      <c r="N1780" s="341"/>
      <c r="O1780" s="342"/>
      <c r="P1780" s="343"/>
      <c r="Q1780" s="173"/>
      <c r="R1780" s="335"/>
      <c r="S1780" s="2"/>
      <c r="T1780" s="2"/>
      <c r="U1780" s="2"/>
      <c r="V1780" s="2"/>
    </row>
    <row r="1781" spans="1:22" s="25" customFormat="1" ht="33" outlineLevel="1" x14ac:dyDescent="0.25">
      <c r="A1781" s="336"/>
      <c r="B1781" s="336" t="s">
        <v>1430</v>
      </c>
      <c r="C1781" s="337" t="s">
        <v>37</v>
      </c>
      <c r="D1781" s="338"/>
      <c r="E1781" s="999"/>
      <c r="F1781" s="1000"/>
      <c r="G1781" s="339">
        <v>118759.45</v>
      </c>
      <c r="H1781" s="1133"/>
      <c r="I1781" s="172"/>
      <c r="J1781" s="338"/>
      <c r="K1781" s="338"/>
      <c r="L1781" s="340"/>
      <c r="M1781" s="338"/>
      <c r="N1781" s="341"/>
      <c r="O1781" s="342"/>
      <c r="P1781" s="343"/>
      <c r="Q1781" s="173"/>
      <c r="R1781" s="335"/>
      <c r="S1781" s="2"/>
      <c r="T1781" s="2"/>
      <c r="U1781" s="2"/>
      <c r="V1781" s="2"/>
    </row>
    <row r="1782" spans="1:22" s="25" customFormat="1" ht="28.5" customHeight="1" outlineLevel="1" x14ac:dyDescent="0.25">
      <c r="A1782" s="336"/>
      <c r="B1782" s="336" t="s">
        <v>1431</v>
      </c>
      <c r="C1782" s="337" t="s">
        <v>37</v>
      </c>
      <c r="D1782" s="338"/>
      <c r="E1782" s="999"/>
      <c r="F1782" s="1000"/>
      <c r="G1782" s="339">
        <v>270220.83</v>
      </c>
      <c r="H1782" s="1133"/>
      <c r="I1782" s="172"/>
      <c r="J1782" s="338"/>
      <c r="K1782" s="338"/>
      <c r="L1782" s="340"/>
      <c r="M1782" s="338"/>
      <c r="N1782" s="341"/>
      <c r="O1782" s="342"/>
      <c r="P1782" s="343"/>
      <c r="Q1782" s="173"/>
      <c r="R1782" s="335"/>
      <c r="S1782" s="2"/>
      <c r="T1782" s="2"/>
      <c r="U1782" s="2"/>
      <c r="V1782" s="2"/>
    </row>
    <row r="1783" spans="1:22" s="25" customFormat="1" ht="27" customHeight="1" outlineLevel="1" x14ac:dyDescent="0.25">
      <c r="A1783" s="336"/>
      <c r="B1783" s="336" t="s">
        <v>1432</v>
      </c>
      <c r="C1783" s="337" t="s">
        <v>37</v>
      </c>
      <c r="D1783" s="338"/>
      <c r="E1783" s="999"/>
      <c r="F1783" s="1000"/>
      <c r="G1783" s="339">
        <v>281329.78000000003</v>
      </c>
      <c r="H1783" s="1133"/>
      <c r="I1783" s="172"/>
      <c r="J1783" s="338"/>
      <c r="K1783" s="338"/>
      <c r="L1783" s="340"/>
      <c r="M1783" s="338"/>
      <c r="N1783" s="341"/>
      <c r="O1783" s="342"/>
      <c r="P1783" s="343"/>
      <c r="Q1783" s="173"/>
      <c r="R1783" s="335"/>
      <c r="S1783" s="2"/>
      <c r="T1783" s="2"/>
      <c r="U1783" s="2"/>
      <c r="V1783" s="2"/>
    </row>
    <row r="1784" spans="1:22" s="25" customFormat="1" ht="29.25" customHeight="1" outlineLevel="1" thickBot="1" x14ac:dyDescent="0.3">
      <c r="A1784" s="605"/>
      <c r="B1784" s="605" t="s">
        <v>1433</v>
      </c>
      <c r="C1784" s="377" t="s">
        <v>37</v>
      </c>
      <c r="D1784" s="577"/>
      <c r="E1784" s="996"/>
      <c r="F1784" s="1094"/>
      <c r="G1784" s="585">
        <v>281959.25</v>
      </c>
      <c r="H1784" s="1155"/>
      <c r="I1784" s="277"/>
      <c r="J1784" s="577"/>
      <c r="K1784" s="577"/>
      <c r="L1784" s="340"/>
      <c r="M1784" s="338"/>
      <c r="N1784" s="341"/>
      <c r="O1784" s="342"/>
      <c r="P1784" s="343"/>
      <c r="Q1784" s="173"/>
      <c r="R1784" s="335"/>
      <c r="S1784" s="2"/>
      <c r="T1784" s="2"/>
      <c r="U1784" s="2"/>
      <c r="V1784" s="2"/>
    </row>
    <row r="1785" spans="1:22" s="31" customFormat="1" ht="18" outlineLevel="1" thickBot="1" x14ac:dyDescent="0.3">
      <c r="A1785" s="1056" t="s">
        <v>629</v>
      </c>
      <c r="B1785" s="1057"/>
      <c r="C1785" s="897"/>
      <c r="D1785" s="448">
        <f>SUM(D1775,D1771,D1767,D1765,D1761,D1757,D1751,D1746,D1740,D1776)</f>
        <v>39488115.726461999</v>
      </c>
      <c r="E1785" s="898"/>
      <c r="F1785" s="898"/>
      <c r="G1785" s="448">
        <f>SUM(G1775,G1771,G1767,G1765,G1761,G1757,G1751,G1746,G1740,G1776)</f>
        <v>29841218.575000007</v>
      </c>
      <c r="H1785" s="898"/>
      <c r="I1785" s="899"/>
      <c r="J1785" s="447">
        <f>SUM(J1775,J1771,J1767,J1765,J1761,J1757,J1751,J1746,J1740)</f>
        <v>22358000.02</v>
      </c>
      <c r="K1785" s="900">
        <f>SUM(K1775,K1771,K1767,K1765,K1761,K1757,K1751,K1746,K1740)</f>
        <v>22358000.009999998</v>
      </c>
      <c r="L1785" s="901"/>
      <c r="M1785" s="721"/>
      <c r="N1785" s="902">
        <f>AVERAGE(N1775,N1771,N1767,N1765,N1761,N1757,N1751,N1746,N1740)</f>
        <v>0.52592592592592591</v>
      </c>
      <c r="O1785" s="903"/>
      <c r="P1785" s="904"/>
      <c r="Q1785" s="905"/>
      <c r="R1785" s="869"/>
      <c r="S1785" s="30"/>
      <c r="T1785" s="30"/>
      <c r="U1785" s="30"/>
      <c r="V1785" s="30"/>
    </row>
    <row r="1786" spans="1:22" s="12" customFormat="1" ht="25.5" customHeight="1" thickBot="1" x14ac:dyDescent="0.3">
      <c r="A1786" s="1099" t="s">
        <v>662</v>
      </c>
      <c r="B1786" s="1100"/>
      <c r="C1786" s="1100"/>
      <c r="D1786" s="1100"/>
      <c r="E1786" s="1100"/>
      <c r="F1786" s="1100"/>
      <c r="G1786" s="1100"/>
      <c r="H1786" s="1100"/>
      <c r="I1786" s="1100"/>
      <c r="J1786" s="1100"/>
      <c r="K1786" s="1100"/>
      <c r="L1786" s="1100"/>
      <c r="M1786" s="1100"/>
      <c r="N1786" s="1100"/>
      <c r="O1786" s="1100"/>
      <c r="P1786" s="867"/>
      <c r="Q1786" s="870"/>
      <c r="R1786" s="868"/>
      <c r="S1786" s="22"/>
      <c r="T1786" s="22"/>
      <c r="U1786" s="22"/>
      <c r="V1786" s="22"/>
    </row>
    <row r="1787" spans="1:22" s="6" customFormat="1" ht="31.5" customHeight="1" x14ac:dyDescent="0.25">
      <c r="A1787" s="1082">
        <v>1</v>
      </c>
      <c r="B1787" s="1088" t="s">
        <v>365</v>
      </c>
      <c r="C1787" s="714" t="s">
        <v>500</v>
      </c>
      <c r="D1787" s="272">
        <v>6695398.96</v>
      </c>
      <c r="E1787" s="700" t="s">
        <v>807</v>
      </c>
      <c r="F1787" s="275" t="s">
        <v>806</v>
      </c>
      <c r="G1787" s="274">
        <v>6700000</v>
      </c>
      <c r="H1787" s="212">
        <v>42546</v>
      </c>
      <c r="I1787" s="212">
        <v>42542</v>
      </c>
      <c r="J1787" s="275">
        <v>6695398.96</v>
      </c>
      <c r="K1787" s="275">
        <v>6695398.96</v>
      </c>
      <c r="L1787" s="648"/>
      <c r="M1787" s="275">
        <f>J1787-D1787</f>
        <v>0</v>
      </c>
      <c r="N1787" s="488">
        <v>1</v>
      </c>
      <c r="O1787" s="715"/>
      <c r="P1787" s="176"/>
      <c r="Q1787" s="497"/>
      <c r="R1787" s="620"/>
      <c r="S1787" s="9"/>
      <c r="T1787" s="9"/>
      <c r="U1787" s="9"/>
      <c r="V1787" s="9"/>
    </row>
    <row r="1788" spans="1:22" s="8" customFormat="1" ht="49.5" outlineLevel="1" x14ac:dyDescent="0.25">
      <c r="A1788" s="1070"/>
      <c r="B1788" s="1064"/>
      <c r="C1788" s="356" t="s">
        <v>37</v>
      </c>
      <c r="D1788" s="357">
        <v>112263.39</v>
      </c>
      <c r="E1788" s="690" t="s">
        <v>619</v>
      </c>
      <c r="F1788" s="361" t="s">
        <v>614</v>
      </c>
      <c r="G1788" s="359">
        <f>95138.47*1.18</f>
        <v>112263.3946</v>
      </c>
      <c r="H1788" s="360">
        <v>42429</v>
      </c>
      <c r="I1788" s="360">
        <v>42495</v>
      </c>
      <c r="J1788" s="361">
        <v>112263.39</v>
      </c>
      <c r="K1788" s="361">
        <v>112263.39</v>
      </c>
      <c r="L1788" s="360"/>
      <c r="M1788" s="361"/>
      <c r="N1788" s="362"/>
      <c r="O1788" s="466" t="s">
        <v>734</v>
      </c>
      <c r="P1788" s="176"/>
      <c r="Q1788" s="497"/>
      <c r="R1788" s="496"/>
      <c r="S1788" s="2"/>
      <c r="T1788" s="2"/>
      <c r="U1788" s="2"/>
      <c r="V1788" s="2"/>
    </row>
    <row r="1789" spans="1:22" s="8" customFormat="1" ht="17.25" outlineLevel="1" thickBot="1" x14ac:dyDescent="0.3">
      <c r="A1789" s="1006" t="s">
        <v>628</v>
      </c>
      <c r="B1789" s="1007"/>
      <c r="C1789" s="691"/>
      <c r="D1789" s="480">
        <f>SUM(D1787:D1788)</f>
        <v>6807662.3499999996</v>
      </c>
      <c r="E1789" s="692"/>
      <c r="F1789" s="677"/>
      <c r="G1789" s="693">
        <f>SUM(G1787:G1788)</f>
        <v>6812263.3946000002</v>
      </c>
      <c r="H1789" s="309"/>
      <c r="I1789" s="321"/>
      <c r="J1789" s="480">
        <f t="shared" ref="J1789" si="129">SUM(J1787:J1788)</f>
        <v>6807662.3499999996</v>
      </c>
      <c r="K1789" s="480">
        <f>SUM(K1787:K1788)</f>
        <v>6807662.3499999996</v>
      </c>
      <c r="L1789" s="482"/>
      <c r="M1789" s="480"/>
      <c r="N1789" s="421">
        <f>AVERAGE(N1787:N1788)</f>
        <v>1</v>
      </c>
      <c r="O1789" s="694"/>
      <c r="P1789" s="176"/>
      <c r="Q1789" s="497"/>
      <c r="R1789" s="496"/>
      <c r="S1789" s="2"/>
      <c r="T1789" s="2"/>
      <c r="U1789" s="2"/>
      <c r="V1789" s="2"/>
    </row>
    <row r="1790" spans="1:22" s="6" customFormat="1" ht="31.5" customHeight="1" x14ac:dyDescent="0.25">
      <c r="A1790" s="1069">
        <v>2</v>
      </c>
      <c r="B1790" s="1080" t="s">
        <v>366</v>
      </c>
      <c r="C1790" s="278" t="s">
        <v>500</v>
      </c>
      <c r="D1790" s="159">
        <v>6668965.4699999997</v>
      </c>
      <c r="E1790" s="710" t="s">
        <v>805</v>
      </c>
      <c r="F1790" s="162" t="s">
        <v>806</v>
      </c>
      <c r="G1790" s="160">
        <v>6670000</v>
      </c>
      <c r="H1790" s="161">
        <v>42546</v>
      </c>
      <c r="I1790" s="161">
        <v>42545</v>
      </c>
      <c r="J1790" s="162">
        <v>6668965.4700000007</v>
      </c>
      <c r="K1790" s="162">
        <v>6668965.4700000007</v>
      </c>
      <c r="L1790" s="198"/>
      <c r="M1790" s="275">
        <f>J1790-D1790</f>
        <v>0</v>
      </c>
      <c r="N1790" s="200">
        <v>1</v>
      </c>
      <c r="O1790" s="906"/>
      <c r="P1790" s="176"/>
      <c r="Q1790" s="497"/>
      <c r="R1790" s="620"/>
      <c r="S1790" s="9"/>
      <c r="T1790" s="9"/>
      <c r="U1790" s="9"/>
      <c r="V1790" s="9"/>
    </row>
    <row r="1791" spans="1:22" s="8" customFormat="1" ht="49.5" outlineLevel="1" x14ac:dyDescent="0.25">
      <c r="A1791" s="1070"/>
      <c r="B1791" s="1064"/>
      <c r="C1791" s="356" t="s">
        <v>37</v>
      </c>
      <c r="D1791" s="357">
        <v>115159.78</v>
      </c>
      <c r="E1791" s="690" t="s">
        <v>619</v>
      </c>
      <c r="F1791" s="361" t="s">
        <v>614</v>
      </c>
      <c r="G1791" s="359">
        <f>97593.03*1.18</f>
        <v>115159.7754</v>
      </c>
      <c r="H1791" s="360">
        <v>42429</v>
      </c>
      <c r="I1791" s="360">
        <v>42495</v>
      </c>
      <c r="J1791" s="361">
        <v>115159.78</v>
      </c>
      <c r="K1791" s="361">
        <v>115159.78</v>
      </c>
      <c r="L1791" s="360"/>
      <c r="M1791" s="361"/>
      <c r="N1791" s="362"/>
      <c r="O1791" s="466" t="s">
        <v>734</v>
      </c>
      <c r="P1791" s="176"/>
      <c r="Q1791" s="497"/>
      <c r="R1791" s="496"/>
      <c r="S1791" s="2"/>
      <c r="T1791" s="2"/>
      <c r="U1791" s="2"/>
      <c r="V1791" s="2"/>
    </row>
    <row r="1792" spans="1:22" s="8" customFormat="1" ht="15" customHeight="1" outlineLevel="1" thickBot="1" x14ac:dyDescent="0.3">
      <c r="A1792" s="1010" t="s">
        <v>628</v>
      </c>
      <c r="B1792" s="1011"/>
      <c r="C1792" s="607"/>
      <c r="D1792" s="480">
        <f>SUM(D1790:D1791)</f>
        <v>6784125.25</v>
      </c>
      <c r="E1792" s="705"/>
      <c r="F1792" s="310"/>
      <c r="G1792" s="693">
        <f>SUM(G1790:G1791)</f>
        <v>6785159.7753999997</v>
      </c>
      <c r="H1792" s="308"/>
      <c r="I1792" s="277"/>
      <c r="J1792" s="480">
        <f t="shared" ref="J1792" si="130">SUM(J1790:J1791)</f>
        <v>6784125.2500000009</v>
      </c>
      <c r="K1792" s="480">
        <f>SUM(K1790:K1791)</f>
        <v>6784125.2500000009</v>
      </c>
      <c r="L1792" s="579"/>
      <c r="M1792" s="577"/>
      <c r="N1792" s="421">
        <f>AVERAGE(N1790:N1791)</f>
        <v>1</v>
      </c>
      <c r="O1792" s="707"/>
      <c r="P1792" s="176"/>
      <c r="Q1792" s="497"/>
      <c r="R1792" s="496"/>
      <c r="S1792" s="2"/>
      <c r="T1792" s="2"/>
      <c r="U1792" s="2"/>
      <c r="V1792" s="2"/>
    </row>
    <row r="1793" spans="1:22" s="76" customFormat="1" ht="31.5" customHeight="1" x14ac:dyDescent="0.25">
      <c r="A1793" s="1071">
        <v>3</v>
      </c>
      <c r="B1793" s="1073" t="s">
        <v>367</v>
      </c>
      <c r="C1793" s="278" t="s">
        <v>500</v>
      </c>
      <c r="D1793" s="159">
        <v>4729867.16</v>
      </c>
      <c r="E1793" s="710" t="s">
        <v>1088</v>
      </c>
      <c r="F1793" s="162" t="s">
        <v>816</v>
      </c>
      <c r="G1793" s="160">
        <v>4729867.16</v>
      </c>
      <c r="H1793" s="161">
        <v>42674</v>
      </c>
      <c r="I1793" s="161">
        <v>42727</v>
      </c>
      <c r="J1793" s="162">
        <v>4302952.5999999996</v>
      </c>
      <c r="K1793" s="162">
        <v>4302952.5999999996</v>
      </c>
      <c r="L1793" s="198"/>
      <c r="M1793" s="199"/>
      <c r="N1793" s="200">
        <v>0.9</v>
      </c>
      <c r="O1793" s="718"/>
      <c r="P1793" s="457"/>
      <c r="Q1793" s="622"/>
      <c r="R1793" s="623"/>
      <c r="S1793" s="72"/>
      <c r="T1793" s="72"/>
      <c r="U1793" s="72"/>
      <c r="V1793" s="72"/>
    </row>
    <row r="1794" spans="1:22" s="8" customFormat="1" ht="49.5" outlineLevel="1" x14ac:dyDescent="0.25">
      <c r="A1794" s="1072"/>
      <c r="B1794" s="1074"/>
      <c r="C1794" s="356" t="s">
        <v>37</v>
      </c>
      <c r="D1794" s="357">
        <v>111424.93</v>
      </c>
      <c r="E1794" s="690" t="s">
        <v>619</v>
      </c>
      <c r="F1794" s="361" t="s">
        <v>614</v>
      </c>
      <c r="G1794" s="359">
        <f>94427.91*1.18</f>
        <v>111424.9338</v>
      </c>
      <c r="H1794" s="360">
        <v>42429</v>
      </c>
      <c r="I1794" s="360">
        <v>42495</v>
      </c>
      <c r="J1794" s="361">
        <v>111424.93</v>
      </c>
      <c r="K1794" s="361">
        <v>111424.93</v>
      </c>
      <c r="L1794" s="360"/>
      <c r="M1794" s="361"/>
      <c r="N1794" s="362"/>
      <c r="O1794" s="466" t="s">
        <v>734</v>
      </c>
      <c r="P1794" s="176"/>
      <c r="Q1794" s="497"/>
      <c r="R1794" s="496"/>
      <c r="S1794" s="2"/>
      <c r="T1794" s="2"/>
      <c r="U1794" s="2"/>
      <c r="V1794" s="2"/>
    </row>
    <row r="1795" spans="1:22" s="11" customFormat="1" ht="33" outlineLevel="1" x14ac:dyDescent="0.25">
      <c r="A1795" s="1082"/>
      <c r="B1795" s="1088"/>
      <c r="C1795" s="286" t="s">
        <v>1095</v>
      </c>
      <c r="D1795" s="246">
        <v>33223.012414044402</v>
      </c>
      <c r="E1795" s="705"/>
      <c r="F1795" s="310"/>
      <c r="G1795" s="708"/>
      <c r="H1795" s="308"/>
      <c r="I1795" s="308"/>
      <c r="J1795" s="310"/>
      <c r="K1795" s="310"/>
      <c r="L1795" s="308"/>
      <c r="M1795" s="310"/>
      <c r="N1795" s="709"/>
      <c r="O1795" s="287"/>
      <c r="P1795" s="176"/>
      <c r="Q1795" s="446"/>
      <c r="R1795" s="335"/>
      <c r="S1795" s="2"/>
      <c r="T1795" s="2"/>
      <c r="U1795" s="2"/>
      <c r="V1795" s="2"/>
    </row>
    <row r="1796" spans="1:22" s="8" customFormat="1" ht="17.25" outlineLevel="1" thickBot="1" x14ac:dyDescent="0.3">
      <c r="A1796" s="1006" t="s">
        <v>628</v>
      </c>
      <c r="B1796" s="1007"/>
      <c r="C1796" s="691"/>
      <c r="D1796" s="480">
        <f>SUM(D1793:D1795)</f>
        <v>4874515.1024140446</v>
      </c>
      <c r="E1796" s="692"/>
      <c r="F1796" s="677"/>
      <c r="G1796" s="693">
        <f>SUM(G1793:G1794)</f>
        <v>4841292.0937999999</v>
      </c>
      <c r="H1796" s="309"/>
      <c r="I1796" s="321"/>
      <c r="J1796" s="480">
        <f>SUM(J1793:J1794)</f>
        <v>4414377.5299999993</v>
      </c>
      <c r="K1796" s="480">
        <f>SUM(K1793:K1794)</f>
        <v>4414377.5299999993</v>
      </c>
      <c r="L1796" s="482"/>
      <c r="M1796" s="480"/>
      <c r="N1796" s="421">
        <f>AVERAGE(N1793:N1794)</f>
        <v>0.9</v>
      </c>
      <c r="O1796" s="694"/>
      <c r="P1796" s="176"/>
      <c r="Q1796" s="497"/>
      <c r="R1796" s="496"/>
      <c r="S1796" s="2"/>
      <c r="T1796" s="2"/>
      <c r="U1796" s="2"/>
      <c r="V1796" s="2"/>
    </row>
    <row r="1797" spans="1:22" s="6" customFormat="1" ht="31.5" customHeight="1" x14ac:dyDescent="0.25">
      <c r="A1797" s="1071">
        <v>4</v>
      </c>
      <c r="B1797" s="1073" t="s">
        <v>368</v>
      </c>
      <c r="C1797" s="278" t="s">
        <v>500</v>
      </c>
      <c r="D1797" s="159">
        <v>3915243.54</v>
      </c>
      <c r="E1797" s="710" t="s">
        <v>1062</v>
      </c>
      <c r="F1797" s="162" t="s">
        <v>816</v>
      </c>
      <c r="G1797" s="160">
        <v>3915243.54</v>
      </c>
      <c r="H1797" s="161">
        <v>42660</v>
      </c>
      <c r="I1797" s="161">
        <v>42704</v>
      </c>
      <c r="J1797" s="162">
        <v>3478304.88</v>
      </c>
      <c r="K1797" s="162">
        <v>3478304.88</v>
      </c>
      <c r="L1797" s="161">
        <v>42720</v>
      </c>
      <c r="M1797" s="199"/>
      <c r="N1797" s="164">
        <v>1</v>
      </c>
      <c r="O1797" s="699"/>
      <c r="P1797" s="176"/>
      <c r="Q1797" s="497"/>
      <c r="R1797" s="620"/>
      <c r="S1797" s="9"/>
      <c r="T1797" s="9"/>
      <c r="U1797" s="9"/>
      <c r="V1797" s="9"/>
    </row>
    <row r="1798" spans="1:22" s="8" customFormat="1" ht="49.5" outlineLevel="1" x14ac:dyDescent="0.25">
      <c r="A1798" s="1072"/>
      <c r="B1798" s="1074"/>
      <c r="C1798" s="356" t="s">
        <v>37</v>
      </c>
      <c r="D1798" s="357">
        <v>83192.009999999995</v>
      </c>
      <c r="E1798" s="690" t="s">
        <v>619</v>
      </c>
      <c r="F1798" s="361" t="s">
        <v>614</v>
      </c>
      <c r="G1798" s="359">
        <f>70501.7*1.18</f>
        <v>83192.005999999994</v>
      </c>
      <c r="H1798" s="360">
        <v>42429</v>
      </c>
      <c r="I1798" s="360">
        <v>42495</v>
      </c>
      <c r="J1798" s="361">
        <v>83192.009999999995</v>
      </c>
      <c r="K1798" s="361">
        <v>83192.009999999995</v>
      </c>
      <c r="L1798" s="360"/>
      <c r="M1798" s="361"/>
      <c r="N1798" s="362"/>
      <c r="O1798" s="466" t="s">
        <v>734</v>
      </c>
      <c r="P1798" s="176"/>
      <c r="Q1798" s="497"/>
      <c r="R1798" s="496"/>
      <c r="S1798" s="2"/>
      <c r="T1798" s="2"/>
      <c r="U1798" s="2"/>
      <c r="V1798" s="2"/>
    </row>
    <row r="1799" spans="1:22" s="11" customFormat="1" ht="33" outlineLevel="1" x14ac:dyDescent="0.25">
      <c r="A1799" s="1082"/>
      <c r="B1799" s="1088"/>
      <c r="C1799" s="286" t="s">
        <v>1095</v>
      </c>
      <c r="D1799" s="246">
        <v>31920.149182121098</v>
      </c>
      <c r="E1799" s="705"/>
      <c r="F1799" s="310"/>
      <c r="G1799" s="708"/>
      <c r="H1799" s="308"/>
      <c r="I1799" s="308"/>
      <c r="J1799" s="310"/>
      <c r="K1799" s="310"/>
      <c r="L1799" s="308"/>
      <c r="M1799" s="310"/>
      <c r="N1799" s="709"/>
      <c r="O1799" s="287"/>
      <c r="P1799" s="176"/>
      <c r="Q1799" s="446"/>
      <c r="R1799" s="335"/>
      <c r="S1799" s="2"/>
      <c r="T1799" s="2"/>
      <c r="U1799" s="2"/>
      <c r="V1799" s="2"/>
    </row>
    <row r="1800" spans="1:22" s="8" customFormat="1" ht="17.25" outlineLevel="1" thickBot="1" x14ac:dyDescent="0.3">
      <c r="A1800" s="1006" t="s">
        <v>628</v>
      </c>
      <c r="B1800" s="1007"/>
      <c r="C1800" s="691"/>
      <c r="D1800" s="480">
        <f>SUM(D1797:D1799)</f>
        <v>4030355.6991821211</v>
      </c>
      <c r="E1800" s="692"/>
      <c r="F1800" s="677"/>
      <c r="G1800" s="693">
        <f>SUM(G1797:G1798)</f>
        <v>3998435.5460000001</v>
      </c>
      <c r="H1800" s="309"/>
      <c r="I1800" s="321"/>
      <c r="J1800" s="480">
        <f>SUM(J1797:J1798)</f>
        <v>3561496.8899999997</v>
      </c>
      <c r="K1800" s="480">
        <f>SUM(K1797:K1798)</f>
        <v>3561496.8899999997</v>
      </c>
      <c r="L1800" s="482"/>
      <c r="M1800" s="480"/>
      <c r="N1800" s="421">
        <f>AVERAGE(N1797:N1798)</f>
        <v>1</v>
      </c>
      <c r="O1800" s="694"/>
      <c r="P1800" s="176"/>
      <c r="Q1800" s="497"/>
      <c r="R1800" s="496"/>
      <c r="S1800" s="2"/>
      <c r="T1800" s="2"/>
      <c r="U1800" s="2"/>
      <c r="V1800" s="2"/>
    </row>
    <row r="1801" spans="1:22" s="6" customFormat="1" ht="31.5" customHeight="1" x14ac:dyDescent="0.25">
      <c r="A1801" s="1071">
        <v>5</v>
      </c>
      <c r="B1801" s="1073" t="s">
        <v>369</v>
      </c>
      <c r="C1801" s="278" t="s">
        <v>500</v>
      </c>
      <c r="D1801" s="159">
        <v>7717591.9800000004</v>
      </c>
      <c r="E1801" s="710" t="s">
        <v>966</v>
      </c>
      <c r="F1801" s="162" t="s">
        <v>794</v>
      </c>
      <c r="G1801" s="160"/>
      <c r="H1801" s="161">
        <v>42633</v>
      </c>
      <c r="I1801" s="161">
        <v>42639</v>
      </c>
      <c r="J1801" s="162">
        <v>7717591.9800000004</v>
      </c>
      <c r="K1801" s="162">
        <v>7717591.9800000004</v>
      </c>
      <c r="L1801" s="198"/>
      <c r="M1801" s="199"/>
      <c r="N1801" s="200">
        <v>1</v>
      </c>
      <c r="O1801" s="699"/>
      <c r="P1801" s="176"/>
      <c r="Q1801" s="497"/>
      <c r="R1801" s="620"/>
      <c r="S1801" s="9"/>
      <c r="T1801" s="9"/>
      <c r="U1801" s="9"/>
      <c r="V1801" s="9"/>
    </row>
    <row r="1802" spans="1:22" s="8" customFormat="1" ht="49.5" outlineLevel="1" x14ac:dyDescent="0.25">
      <c r="A1802" s="1072"/>
      <c r="B1802" s="1074"/>
      <c r="C1802" s="356" t="s">
        <v>37</v>
      </c>
      <c r="D1802" s="357">
        <v>118372.92</v>
      </c>
      <c r="E1802" s="690" t="s">
        <v>619</v>
      </c>
      <c r="F1802" s="361" t="s">
        <v>614</v>
      </c>
      <c r="G1802" s="359">
        <f>100316.03*1.18</f>
        <v>118372.9154</v>
      </c>
      <c r="H1802" s="360">
        <v>42429</v>
      </c>
      <c r="I1802" s="360">
        <v>42495</v>
      </c>
      <c r="J1802" s="361">
        <v>118372.92</v>
      </c>
      <c r="K1802" s="361">
        <v>118372.92</v>
      </c>
      <c r="L1802" s="360"/>
      <c r="M1802" s="361"/>
      <c r="N1802" s="362"/>
      <c r="O1802" s="466" t="s">
        <v>734</v>
      </c>
      <c r="P1802" s="176"/>
      <c r="Q1802" s="497"/>
      <c r="R1802" s="496"/>
      <c r="S1802" s="2"/>
      <c r="T1802" s="2"/>
      <c r="U1802" s="2"/>
      <c r="V1802" s="2"/>
    </row>
    <row r="1803" spans="1:22" s="8" customFormat="1" ht="17.25" outlineLevel="1" thickBot="1" x14ac:dyDescent="0.3">
      <c r="A1803" s="1006" t="s">
        <v>628</v>
      </c>
      <c r="B1803" s="1007"/>
      <c r="C1803" s="691"/>
      <c r="D1803" s="480">
        <f>SUM(D1801:D1802)</f>
        <v>7835964.9000000004</v>
      </c>
      <c r="E1803" s="692"/>
      <c r="F1803" s="677"/>
      <c r="G1803" s="693">
        <f>SUM(G1801:G1802)</f>
        <v>118372.9154</v>
      </c>
      <c r="H1803" s="309"/>
      <c r="I1803" s="321"/>
      <c r="J1803" s="480">
        <f>SUM(J1801:J1802)</f>
        <v>7835964.9000000004</v>
      </c>
      <c r="K1803" s="480">
        <f>SUM(K1801:K1802)</f>
        <v>7835964.9000000004</v>
      </c>
      <c r="L1803" s="482"/>
      <c r="M1803" s="480"/>
      <c r="N1803" s="421">
        <f>AVERAGE(N1801:N1802)</f>
        <v>1</v>
      </c>
      <c r="O1803" s="694"/>
      <c r="P1803" s="176"/>
      <c r="Q1803" s="497"/>
      <c r="R1803" s="496"/>
      <c r="S1803" s="2"/>
      <c r="T1803" s="2"/>
      <c r="U1803" s="2"/>
      <c r="V1803" s="2"/>
    </row>
    <row r="1804" spans="1:22" s="6" customFormat="1" ht="31.5" customHeight="1" x14ac:dyDescent="0.25">
      <c r="A1804" s="1069">
        <v>6</v>
      </c>
      <c r="B1804" s="1080" t="s">
        <v>370</v>
      </c>
      <c r="C1804" s="278" t="s">
        <v>500</v>
      </c>
      <c r="D1804" s="159">
        <v>4642191.9800000004</v>
      </c>
      <c r="E1804" s="710" t="s">
        <v>826</v>
      </c>
      <c r="F1804" s="162" t="s">
        <v>792</v>
      </c>
      <c r="G1804" s="160">
        <v>4406639.37</v>
      </c>
      <c r="H1804" s="161">
        <v>42530</v>
      </c>
      <c r="I1804" s="161">
        <v>42531</v>
      </c>
      <c r="J1804" s="162">
        <v>4642191.9799999995</v>
      </c>
      <c r="K1804" s="162">
        <v>4642191.9799999995</v>
      </c>
      <c r="L1804" s="161"/>
      <c r="M1804" s="162">
        <f>J1804-D1804</f>
        <v>0</v>
      </c>
      <c r="N1804" s="200">
        <v>1</v>
      </c>
      <c r="O1804" s="718"/>
      <c r="P1804" s="176"/>
      <c r="Q1804" s="497"/>
      <c r="R1804" s="620"/>
      <c r="S1804" s="9"/>
      <c r="T1804" s="9"/>
      <c r="U1804" s="9"/>
      <c r="V1804" s="9"/>
    </row>
    <row r="1805" spans="1:22" s="8" customFormat="1" ht="49.5" outlineLevel="1" x14ac:dyDescent="0.25">
      <c r="A1805" s="1070"/>
      <c r="B1805" s="1064"/>
      <c r="C1805" s="356" t="s">
        <v>37</v>
      </c>
      <c r="D1805" s="357">
        <v>103616.8</v>
      </c>
      <c r="E1805" s="690" t="s">
        <v>619</v>
      </c>
      <c r="F1805" s="361" t="s">
        <v>614</v>
      </c>
      <c r="G1805" s="359">
        <f>87810.85*1.18</f>
        <v>103616.803</v>
      </c>
      <c r="H1805" s="360">
        <v>42429</v>
      </c>
      <c r="I1805" s="360">
        <v>42495</v>
      </c>
      <c r="J1805" s="361">
        <v>103616.8</v>
      </c>
      <c r="K1805" s="361">
        <v>103616.8</v>
      </c>
      <c r="L1805" s="360"/>
      <c r="M1805" s="361"/>
      <c r="N1805" s="362"/>
      <c r="O1805" s="466" t="s">
        <v>734</v>
      </c>
      <c r="P1805" s="176"/>
      <c r="Q1805" s="497"/>
      <c r="R1805" s="496"/>
      <c r="S1805" s="2"/>
      <c r="T1805" s="2"/>
      <c r="U1805" s="2"/>
      <c r="V1805" s="2"/>
    </row>
    <row r="1806" spans="1:22" s="8" customFormat="1" ht="17.25" outlineLevel="1" thickBot="1" x14ac:dyDescent="0.3">
      <c r="A1806" s="1006" t="s">
        <v>628</v>
      </c>
      <c r="B1806" s="1007"/>
      <c r="C1806" s="691"/>
      <c r="D1806" s="480">
        <f>SUM(D1804:D1805)</f>
        <v>4745808.78</v>
      </c>
      <c r="E1806" s="692"/>
      <c r="F1806" s="677"/>
      <c r="G1806" s="693">
        <f>SUM(G1804:G1805)</f>
        <v>4510256.1730000004</v>
      </c>
      <c r="H1806" s="309"/>
      <c r="I1806" s="321"/>
      <c r="J1806" s="480">
        <f t="shared" ref="J1806" si="131">SUM(J1804:J1805)</f>
        <v>4745808.7799999993</v>
      </c>
      <c r="K1806" s="480">
        <f>SUM(K1804:K1805)</f>
        <v>4745808.7799999993</v>
      </c>
      <c r="L1806" s="482"/>
      <c r="M1806" s="480"/>
      <c r="N1806" s="421">
        <f>AVERAGE(N1804:N1805)</f>
        <v>1</v>
      </c>
      <c r="O1806" s="694"/>
      <c r="P1806" s="176"/>
      <c r="Q1806" s="497"/>
      <c r="R1806" s="496"/>
      <c r="S1806" s="2"/>
      <c r="T1806" s="2"/>
      <c r="U1806" s="2"/>
      <c r="V1806" s="2"/>
    </row>
    <row r="1807" spans="1:22" s="6" customFormat="1" ht="31.5" customHeight="1" x14ac:dyDescent="0.25">
      <c r="A1807" s="1082">
        <v>7</v>
      </c>
      <c r="B1807" s="1081" t="s">
        <v>40</v>
      </c>
      <c r="C1807" s="714" t="s">
        <v>500</v>
      </c>
      <c r="D1807" s="272">
        <v>11094451.26</v>
      </c>
      <c r="E1807" s="700" t="s">
        <v>800</v>
      </c>
      <c r="F1807" s="275" t="s">
        <v>663</v>
      </c>
      <c r="G1807" s="519">
        <v>13335011.439999999</v>
      </c>
      <c r="H1807" s="212">
        <v>42536</v>
      </c>
      <c r="I1807" s="212">
        <v>42536</v>
      </c>
      <c r="J1807" s="275">
        <v>11094451.26</v>
      </c>
      <c r="K1807" s="275">
        <v>11094451.26</v>
      </c>
      <c r="L1807" s="212"/>
      <c r="M1807" s="275">
        <f>J1807-D1807</f>
        <v>0</v>
      </c>
      <c r="N1807" s="488">
        <v>1</v>
      </c>
      <c r="O1807" s="809"/>
      <c r="P1807" s="176"/>
      <c r="Q1807" s="497"/>
      <c r="R1807" s="620"/>
      <c r="S1807" s="9"/>
      <c r="T1807" s="9"/>
      <c r="U1807" s="9"/>
      <c r="V1807" s="9"/>
    </row>
    <row r="1808" spans="1:22" s="8" customFormat="1" ht="33" outlineLevel="1" x14ac:dyDescent="0.25">
      <c r="A1808" s="1070"/>
      <c r="B1808" s="1076"/>
      <c r="C1808" s="281" t="s">
        <v>501</v>
      </c>
      <c r="D1808" s="272">
        <v>10544568.5</v>
      </c>
      <c r="E1808" s="163" t="s">
        <v>1030</v>
      </c>
      <c r="F1808" s="163" t="s">
        <v>750</v>
      </c>
      <c r="G1808" s="209">
        <v>10694596.060000001</v>
      </c>
      <c r="H1808" s="210">
        <v>42638</v>
      </c>
      <c r="I1808" s="210">
        <v>42684</v>
      </c>
      <c r="J1808" s="163">
        <v>10544568.5</v>
      </c>
      <c r="K1808" s="163">
        <v>10544568.5</v>
      </c>
      <c r="L1808" s="210">
        <v>42697</v>
      </c>
      <c r="M1808" s="163"/>
      <c r="N1808" s="213">
        <v>1</v>
      </c>
      <c r="O1808" s="704"/>
      <c r="P1808" s="176"/>
      <c r="Q1808" s="497" t="s">
        <v>1114</v>
      </c>
      <c r="R1808" s="496"/>
      <c r="S1808" s="2"/>
      <c r="T1808" s="2"/>
      <c r="U1808" s="2"/>
      <c r="V1808" s="2"/>
    </row>
    <row r="1809" spans="1:22" s="8" customFormat="1" ht="49.5" outlineLevel="1" x14ac:dyDescent="0.25">
      <c r="A1809" s="1070"/>
      <c r="B1809" s="1076"/>
      <c r="C1809" s="356" t="s">
        <v>37</v>
      </c>
      <c r="D1809" s="357">
        <v>126700.42</v>
      </c>
      <c r="E1809" s="690" t="s">
        <v>621</v>
      </c>
      <c r="F1809" s="361" t="s">
        <v>614</v>
      </c>
      <c r="G1809" s="359">
        <f>107373.13*1.18*0.99999993</f>
        <v>126700.28453097945</v>
      </c>
      <c r="H1809" s="360">
        <v>42384</v>
      </c>
      <c r="I1809" s="360">
        <v>42527</v>
      </c>
      <c r="J1809" s="361">
        <v>107373.13</v>
      </c>
      <c r="K1809" s="361">
        <v>107373.13</v>
      </c>
      <c r="L1809" s="360">
        <v>42732</v>
      </c>
      <c r="M1809" s="361"/>
      <c r="N1809" s="362"/>
      <c r="O1809" s="466"/>
      <c r="P1809" s="176"/>
      <c r="Q1809" s="497"/>
      <c r="R1809" s="496"/>
      <c r="S1809" s="2"/>
      <c r="T1809" s="2"/>
      <c r="U1809" s="2"/>
      <c r="V1809" s="2"/>
    </row>
    <row r="1810" spans="1:22" s="8" customFormat="1" ht="17.25" outlineLevel="1" thickBot="1" x14ac:dyDescent="0.3">
      <c r="A1810" s="1006" t="s">
        <v>628</v>
      </c>
      <c r="B1810" s="1007"/>
      <c r="C1810" s="691"/>
      <c r="D1810" s="480">
        <f>SUM(D1807:D1809)</f>
        <v>21765720.18</v>
      </c>
      <c r="E1810" s="692"/>
      <c r="F1810" s="677"/>
      <c r="G1810" s="693">
        <f>SUM(G1807:G1809)</f>
        <v>24156307.784530979</v>
      </c>
      <c r="H1810" s="309"/>
      <c r="I1810" s="321"/>
      <c r="J1810" s="480">
        <f>SUM(J1807:J1809)</f>
        <v>21746392.889999997</v>
      </c>
      <c r="K1810" s="480">
        <f>SUM(K1807:K1809)</f>
        <v>21746392.889999997</v>
      </c>
      <c r="L1810" s="482"/>
      <c r="M1810" s="480"/>
      <c r="N1810" s="728">
        <f>AVERAGE(N1807:N1809)</f>
        <v>1</v>
      </c>
      <c r="O1810" s="694"/>
      <c r="P1810" s="176"/>
      <c r="Q1810" s="497"/>
      <c r="R1810" s="496"/>
      <c r="S1810" s="2"/>
      <c r="T1810" s="2"/>
      <c r="U1810" s="2"/>
      <c r="V1810" s="2"/>
    </row>
    <row r="1811" spans="1:22" s="6" customFormat="1" ht="31.5" customHeight="1" x14ac:dyDescent="0.25">
      <c r="A1811" s="1069">
        <v>8</v>
      </c>
      <c r="B1811" s="1080" t="s">
        <v>371</v>
      </c>
      <c r="C1811" s="278" t="s">
        <v>500</v>
      </c>
      <c r="D1811" s="159">
        <v>3783863.71</v>
      </c>
      <c r="E1811" s="710" t="s">
        <v>899</v>
      </c>
      <c r="F1811" s="162" t="s">
        <v>794</v>
      </c>
      <c r="G1811" s="160">
        <v>4318828.2</v>
      </c>
      <c r="H1811" s="161">
        <v>42566</v>
      </c>
      <c r="I1811" s="161">
        <v>42566</v>
      </c>
      <c r="J1811" s="162">
        <v>3783863.71</v>
      </c>
      <c r="K1811" s="162">
        <v>3783863.71</v>
      </c>
      <c r="L1811" s="198"/>
      <c r="M1811" s="275">
        <f>J1811-D1811</f>
        <v>0</v>
      </c>
      <c r="N1811" s="200">
        <v>1</v>
      </c>
      <c r="O1811" s="699"/>
      <c r="P1811" s="176"/>
      <c r="Q1811" s="497"/>
      <c r="R1811" s="620"/>
      <c r="S1811" s="9"/>
      <c r="T1811" s="9"/>
      <c r="U1811" s="9"/>
      <c r="V1811" s="9"/>
    </row>
    <row r="1812" spans="1:22" s="8" customFormat="1" ht="49.5" outlineLevel="1" x14ac:dyDescent="0.25">
      <c r="A1812" s="1070"/>
      <c r="B1812" s="1064"/>
      <c r="C1812" s="356" t="s">
        <v>37</v>
      </c>
      <c r="D1812" s="357">
        <v>78373.279999999999</v>
      </c>
      <c r="E1812" s="690" t="s">
        <v>619</v>
      </c>
      <c r="F1812" s="361" t="s">
        <v>614</v>
      </c>
      <c r="G1812" s="359">
        <f>66418.03*1.18</f>
        <v>78373.275399999999</v>
      </c>
      <c r="H1812" s="360">
        <v>42429</v>
      </c>
      <c r="I1812" s="360">
        <v>42495</v>
      </c>
      <c r="J1812" s="361">
        <v>78373.279999999999</v>
      </c>
      <c r="K1812" s="361">
        <v>78373.279999999999</v>
      </c>
      <c r="L1812" s="360"/>
      <c r="M1812" s="361"/>
      <c r="N1812" s="362"/>
      <c r="O1812" s="466" t="s">
        <v>734</v>
      </c>
      <c r="P1812" s="176"/>
      <c r="Q1812" s="497"/>
      <c r="R1812" s="496"/>
      <c r="S1812" s="2"/>
      <c r="T1812" s="2"/>
      <c r="U1812" s="2"/>
      <c r="V1812" s="2"/>
    </row>
    <row r="1813" spans="1:22" s="8" customFormat="1" ht="17.25" outlineLevel="1" thickBot="1" x14ac:dyDescent="0.3">
      <c r="A1813" s="1006" t="s">
        <v>628</v>
      </c>
      <c r="B1813" s="1007"/>
      <c r="C1813" s="691"/>
      <c r="D1813" s="480">
        <f>SUM(D1811:D1812)</f>
        <v>3862236.9899999998</v>
      </c>
      <c r="E1813" s="692"/>
      <c r="F1813" s="677"/>
      <c r="G1813" s="693">
        <f>SUM(G1811:G1812)</f>
        <v>4397201.4753999999</v>
      </c>
      <c r="H1813" s="309"/>
      <c r="I1813" s="321"/>
      <c r="J1813" s="480">
        <f t="shared" ref="J1813" si="132">SUM(J1811:J1812)</f>
        <v>3862236.9899999998</v>
      </c>
      <c r="K1813" s="480">
        <f>SUM(K1811:K1812)</f>
        <v>3862236.9899999998</v>
      </c>
      <c r="L1813" s="482"/>
      <c r="M1813" s="480"/>
      <c r="N1813" s="421">
        <f>AVERAGE(N1811:N1812)</f>
        <v>1</v>
      </c>
      <c r="O1813" s="694"/>
      <c r="P1813" s="176"/>
      <c r="Q1813" s="497"/>
      <c r="R1813" s="496"/>
      <c r="S1813" s="2"/>
      <c r="T1813" s="2"/>
      <c r="U1813" s="2"/>
      <c r="V1813" s="2"/>
    </row>
    <row r="1814" spans="1:22" s="6" customFormat="1" ht="31.5" customHeight="1" x14ac:dyDescent="0.25">
      <c r="A1814" s="1069">
        <v>9</v>
      </c>
      <c r="B1814" s="1080" t="s">
        <v>372</v>
      </c>
      <c r="C1814" s="278" t="s">
        <v>500</v>
      </c>
      <c r="D1814" s="159">
        <v>3804908.71</v>
      </c>
      <c r="E1814" s="710" t="s">
        <v>899</v>
      </c>
      <c r="F1814" s="162" t="s">
        <v>794</v>
      </c>
      <c r="G1814" s="160">
        <v>4271171.8</v>
      </c>
      <c r="H1814" s="161">
        <v>42566</v>
      </c>
      <c r="I1814" s="161">
        <v>42566</v>
      </c>
      <c r="J1814" s="162">
        <v>3804908.71</v>
      </c>
      <c r="K1814" s="162">
        <v>3804908.71</v>
      </c>
      <c r="L1814" s="198"/>
      <c r="M1814" s="275">
        <f>J1814-D1814</f>
        <v>0</v>
      </c>
      <c r="N1814" s="200">
        <v>1</v>
      </c>
      <c r="O1814" s="699"/>
      <c r="P1814" s="176"/>
      <c r="Q1814" s="497"/>
      <c r="R1814" s="620"/>
      <c r="S1814" s="9"/>
      <c r="T1814" s="9"/>
      <c r="U1814" s="9"/>
      <c r="V1814" s="9"/>
    </row>
    <row r="1815" spans="1:22" s="8" customFormat="1" ht="49.5" outlineLevel="1" x14ac:dyDescent="0.25">
      <c r="A1815" s="1070"/>
      <c r="B1815" s="1064"/>
      <c r="C1815" s="356" t="s">
        <v>37</v>
      </c>
      <c r="D1815" s="357">
        <v>78874.679999999993</v>
      </c>
      <c r="E1815" s="690" t="s">
        <v>619</v>
      </c>
      <c r="F1815" s="361" t="s">
        <v>614</v>
      </c>
      <c r="G1815" s="359">
        <f>66842.95*1.18</f>
        <v>78874.680999999997</v>
      </c>
      <c r="H1815" s="360">
        <v>42429</v>
      </c>
      <c r="I1815" s="360">
        <v>42495</v>
      </c>
      <c r="J1815" s="361">
        <v>78874.679999999993</v>
      </c>
      <c r="K1815" s="361">
        <v>78874.679999999993</v>
      </c>
      <c r="L1815" s="360"/>
      <c r="M1815" s="361"/>
      <c r="N1815" s="362"/>
      <c r="O1815" s="466" t="s">
        <v>734</v>
      </c>
      <c r="P1815" s="176"/>
      <c r="Q1815" s="497"/>
      <c r="R1815" s="496"/>
      <c r="S1815" s="2"/>
      <c r="T1815" s="2"/>
      <c r="U1815" s="2"/>
      <c r="V1815" s="2"/>
    </row>
    <row r="1816" spans="1:22" s="8" customFormat="1" ht="17.25" outlineLevel="1" thickBot="1" x14ac:dyDescent="0.3">
      <c r="A1816" s="1010" t="s">
        <v>628</v>
      </c>
      <c r="B1816" s="1011"/>
      <c r="C1816" s="607"/>
      <c r="D1816" s="480">
        <f>SUM(D1814:D1815)</f>
        <v>3883783.39</v>
      </c>
      <c r="E1816" s="705"/>
      <c r="F1816" s="310"/>
      <c r="G1816" s="693">
        <f>SUM(G1814:G1815)</f>
        <v>4350046.4809999997</v>
      </c>
      <c r="H1816" s="308"/>
      <c r="I1816" s="277"/>
      <c r="J1816" s="480">
        <f t="shared" ref="J1816" si="133">SUM(J1814:J1815)</f>
        <v>3883783.39</v>
      </c>
      <c r="K1816" s="480">
        <f>SUM(K1814:K1815)</f>
        <v>3883783.39</v>
      </c>
      <c r="L1816" s="579"/>
      <c r="M1816" s="577"/>
      <c r="N1816" s="421">
        <f>AVERAGE(N1814:N1815)</f>
        <v>1</v>
      </c>
      <c r="O1816" s="707"/>
      <c r="P1816" s="176"/>
      <c r="Q1816" s="497"/>
      <c r="R1816" s="496"/>
      <c r="S1816" s="2"/>
      <c r="T1816" s="2"/>
      <c r="U1816" s="2"/>
      <c r="V1816" s="2"/>
    </row>
    <row r="1817" spans="1:22" s="6" customFormat="1" ht="31.5" customHeight="1" x14ac:dyDescent="0.25">
      <c r="A1817" s="1069">
        <v>10</v>
      </c>
      <c r="B1817" s="1080" t="s">
        <v>373</v>
      </c>
      <c r="C1817" s="278" t="s">
        <v>500</v>
      </c>
      <c r="D1817" s="159">
        <v>3226512.33</v>
      </c>
      <c r="E1817" s="710" t="s">
        <v>827</v>
      </c>
      <c r="F1817" s="162" t="s">
        <v>768</v>
      </c>
      <c r="G1817" s="160">
        <v>3572631.3</v>
      </c>
      <c r="H1817" s="161">
        <v>42522</v>
      </c>
      <c r="I1817" s="161">
        <v>42613</v>
      </c>
      <c r="J1817" s="162">
        <v>3226512.33</v>
      </c>
      <c r="K1817" s="162">
        <v>3226512.33</v>
      </c>
      <c r="L1817" s="161">
        <v>42724</v>
      </c>
      <c r="M1817" s="199"/>
      <c r="N1817" s="200">
        <v>1</v>
      </c>
      <c r="O1817" s="699"/>
      <c r="P1817" s="176"/>
      <c r="Q1817" s="497" t="s">
        <v>1115</v>
      </c>
      <c r="R1817" s="620"/>
      <c r="S1817" s="9"/>
      <c r="T1817" s="9"/>
      <c r="U1817" s="9"/>
      <c r="V1817" s="9"/>
    </row>
    <row r="1818" spans="1:22" s="8" customFormat="1" ht="49.5" outlineLevel="1" x14ac:dyDescent="0.25">
      <c r="A1818" s="1070"/>
      <c r="B1818" s="1064"/>
      <c r="C1818" s="356" t="s">
        <v>37</v>
      </c>
      <c r="D1818" s="357">
        <v>77621.179999999993</v>
      </c>
      <c r="E1818" s="690" t="s">
        <v>619</v>
      </c>
      <c r="F1818" s="361" t="s">
        <v>614</v>
      </c>
      <c r="G1818" s="359">
        <f>65780.66*1.18</f>
        <v>77621.178799999994</v>
      </c>
      <c r="H1818" s="360">
        <v>42429</v>
      </c>
      <c r="I1818" s="360">
        <v>42495</v>
      </c>
      <c r="J1818" s="361">
        <v>77621.179999999993</v>
      </c>
      <c r="K1818" s="361">
        <v>77621.179999999993</v>
      </c>
      <c r="L1818" s="360"/>
      <c r="M1818" s="361"/>
      <c r="N1818" s="362"/>
      <c r="O1818" s="466" t="s">
        <v>734</v>
      </c>
      <c r="P1818" s="176"/>
      <c r="Q1818" s="497"/>
      <c r="R1818" s="496"/>
      <c r="S1818" s="2"/>
      <c r="T1818" s="2"/>
      <c r="U1818" s="2"/>
      <c r="V1818" s="2"/>
    </row>
    <row r="1819" spans="1:22" s="8" customFormat="1" ht="17.25" outlineLevel="1" thickBot="1" x14ac:dyDescent="0.3">
      <c r="A1819" s="1006" t="s">
        <v>628</v>
      </c>
      <c r="B1819" s="1007"/>
      <c r="C1819" s="691"/>
      <c r="D1819" s="480">
        <f>SUM(D1817:D1818)</f>
        <v>3304133.5100000002</v>
      </c>
      <c r="E1819" s="692"/>
      <c r="F1819" s="677"/>
      <c r="G1819" s="693">
        <f>SUM(G1817:G1818)</f>
        <v>3650252.4787999997</v>
      </c>
      <c r="H1819" s="309"/>
      <c r="I1819" s="321"/>
      <c r="J1819" s="480">
        <f>SUM(J1817:J1818)</f>
        <v>3304133.5100000002</v>
      </c>
      <c r="K1819" s="480">
        <f>SUM(K1817:K1818)</f>
        <v>3304133.5100000002</v>
      </c>
      <c r="L1819" s="482"/>
      <c r="M1819" s="480"/>
      <c r="N1819" s="421">
        <f>AVERAGE(N1817:N1818)</f>
        <v>1</v>
      </c>
      <c r="O1819" s="694"/>
      <c r="P1819" s="176"/>
      <c r="Q1819" s="497"/>
      <c r="R1819" s="496"/>
      <c r="S1819" s="2"/>
      <c r="T1819" s="2"/>
      <c r="U1819" s="2"/>
      <c r="V1819" s="2"/>
    </row>
    <row r="1820" spans="1:22" s="6" customFormat="1" ht="31.5" customHeight="1" x14ac:dyDescent="0.25">
      <c r="A1820" s="1069">
        <v>11</v>
      </c>
      <c r="B1820" s="1080" t="s">
        <v>374</v>
      </c>
      <c r="C1820" s="278" t="s">
        <v>500</v>
      </c>
      <c r="D1820" s="159">
        <v>3564773.64</v>
      </c>
      <c r="E1820" s="710" t="s">
        <v>902</v>
      </c>
      <c r="F1820" s="162" t="s">
        <v>794</v>
      </c>
      <c r="G1820" s="160">
        <v>4269906.74</v>
      </c>
      <c r="H1820" s="161">
        <v>42566</v>
      </c>
      <c r="I1820" s="161">
        <v>42566</v>
      </c>
      <c r="J1820" s="162">
        <v>3564773.64</v>
      </c>
      <c r="K1820" s="162">
        <v>3564773.64</v>
      </c>
      <c r="L1820" s="198"/>
      <c r="M1820" s="275">
        <f>J1820-D1820</f>
        <v>0</v>
      </c>
      <c r="N1820" s="200">
        <v>1</v>
      </c>
      <c r="O1820" s="699"/>
      <c r="P1820" s="176"/>
      <c r="Q1820" s="497"/>
      <c r="R1820" s="620"/>
      <c r="S1820" s="9"/>
      <c r="T1820" s="9"/>
      <c r="U1820" s="9"/>
      <c r="V1820" s="9"/>
    </row>
    <row r="1821" spans="1:22" s="8" customFormat="1" ht="49.5" outlineLevel="1" x14ac:dyDescent="0.25">
      <c r="A1821" s="1070"/>
      <c r="B1821" s="1064"/>
      <c r="C1821" s="356" t="s">
        <v>37</v>
      </c>
      <c r="D1821" s="357">
        <v>79208.94</v>
      </c>
      <c r="E1821" s="690" t="s">
        <v>619</v>
      </c>
      <c r="F1821" s="361" t="s">
        <v>614</v>
      </c>
      <c r="G1821" s="359">
        <f>67126.22*1.18</f>
        <v>79208.939599999998</v>
      </c>
      <c r="H1821" s="360">
        <v>42429</v>
      </c>
      <c r="I1821" s="360">
        <v>42495</v>
      </c>
      <c r="J1821" s="361">
        <v>79208.94</v>
      </c>
      <c r="K1821" s="361">
        <v>79208.94</v>
      </c>
      <c r="L1821" s="360"/>
      <c r="M1821" s="361"/>
      <c r="N1821" s="362"/>
      <c r="O1821" s="466" t="s">
        <v>734</v>
      </c>
      <c r="P1821" s="176"/>
      <c r="Q1821" s="497"/>
      <c r="R1821" s="496"/>
      <c r="S1821" s="2"/>
      <c r="T1821" s="2"/>
      <c r="U1821" s="2"/>
      <c r="V1821" s="2"/>
    </row>
    <row r="1822" spans="1:22" s="8" customFormat="1" ht="17.25" outlineLevel="1" thickBot="1" x14ac:dyDescent="0.3">
      <c r="A1822" s="1006" t="s">
        <v>628</v>
      </c>
      <c r="B1822" s="1007"/>
      <c r="C1822" s="691"/>
      <c r="D1822" s="480">
        <f>SUM(D1820:D1821)</f>
        <v>3643982.58</v>
      </c>
      <c r="E1822" s="692"/>
      <c r="F1822" s="677"/>
      <c r="G1822" s="693">
        <f>SUM(G1820:G1821)</f>
        <v>4349115.6796000004</v>
      </c>
      <c r="H1822" s="309"/>
      <c r="I1822" s="321"/>
      <c r="J1822" s="480">
        <f t="shared" ref="J1822" si="134">SUM(J1820:J1821)</f>
        <v>3643982.58</v>
      </c>
      <c r="K1822" s="480">
        <f>SUM(K1820:K1821)</f>
        <v>3643982.58</v>
      </c>
      <c r="L1822" s="482"/>
      <c r="M1822" s="480"/>
      <c r="N1822" s="421">
        <f>AVERAGE(N1820:N1821)</f>
        <v>1</v>
      </c>
      <c r="O1822" s="694"/>
      <c r="P1822" s="176"/>
      <c r="Q1822" s="497"/>
      <c r="R1822" s="496"/>
      <c r="S1822" s="2"/>
      <c r="T1822" s="2"/>
      <c r="U1822" s="2"/>
      <c r="V1822" s="2"/>
    </row>
    <row r="1823" spans="1:22" s="6" customFormat="1" ht="31.5" customHeight="1" x14ac:dyDescent="0.25">
      <c r="A1823" s="1069">
        <v>12</v>
      </c>
      <c r="B1823" s="1080" t="s">
        <v>375</v>
      </c>
      <c r="C1823" s="278" t="s">
        <v>500</v>
      </c>
      <c r="D1823" s="159">
        <v>3614203.06</v>
      </c>
      <c r="E1823" s="710" t="s">
        <v>940</v>
      </c>
      <c r="F1823" s="162" t="s">
        <v>794</v>
      </c>
      <c r="G1823" s="160">
        <v>3960000</v>
      </c>
      <c r="H1823" s="161">
        <v>42597</v>
      </c>
      <c r="I1823" s="161">
        <v>42597</v>
      </c>
      <c r="J1823" s="162">
        <v>3614203.06</v>
      </c>
      <c r="K1823" s="162">
        <v>3614203.06</v>
      </c>
      <c r="L1823" s="198"/>
      <c r="M1823" s="199"/>
      <c r="N1823" s="200">
        <v>1</v>
      </c>
      <c r="O1823" s="699"/>
      <c r="P1823" s="176"/>
      <c r="Q1823" s="497"/>
      <c r="R1823" s="620"/>
      <c r="S1823" s="9"/>
      <c r="T1823" s="9"/>
      <c r="U1823" s="9"/>
      <c r="V1823" s="9"/>
    </row>
    <row r="1824" spans="1:22" s="8" customFormat="1" ht="49.5" outlineLevel="1" x14ac:dyDescent="0.25">
      <c r="A1824" s="1070"/>
      <c r="B1824" s="1064"/>
      <c r="C1824" s="356" t="s">
        <v>37</v>
      </c>
      <c r="D1824" s="357">
        <v>68212.600000000006</v>
      </c>
      <c r="E1824" s="690" t="s">
        <v>619</v>
      </c>
      <c r="F1824" s="361" t="s">
        <v>614</v>
      </c>
      <c r="G1824" s="359">
        <f>57807.29*1.18</f>
        <v>68212.602199999994</v>
      </c>
      <c r="H1824" s="360">
        <v>42429</v>
      </c>
      <c r="I1824" s="360">
        <v>42495</v>
      </c>
      <c r="J1824" s="361">
        <v>68212.600000000006</v>
      </c>
      <c r="K1824" s="361">
        <v>68212.600000000006</v>
      </c>
      <c r="L1824" s="360"/>
      <c r="M1824" s="361"/>
      <c r="N1824" s="362"/>
      <c r="O1824" s="466" t="s">
        <v>734</v>
      </c>
      <c r="P1824" s="176"/>
      <c r="Q1824" s="497"/>
      <c r="R1824" s="496"/>
      <c r="S1824" s="2"/>
      <c r="T1824" s="2"/>
      <c r="U1824" s="2"/>
      <c r="V1824" s="2"/>
    </row>
    <row r="1825" spans="1:22" s="8" customFormat="1" ht="17.25" outlineLevel="1" thickBot="1" x14ac:dyDescent="0.3">
      <c r="A1825" s="1006" t="s">
        <v>628</v>
      </c>
      <c r="B1825" s="1007"/>
      <c r="C1825" s="691"/>
      <c r="D1825" s="480">
        <f>SUM(D1823:D1824)</f>
        <v>3682415.66</v>
      </c>
      <c r="E1825" s="692"/>
      <c r="F1825" s="677"/>
      <c r="G1825" s="693">
        <f>SUM(G1823:G1824)</f>
        <v>4028212.6022000001</v>
      </c>
      <c r="H1825" s="309"/>
      <c r="I1825" s="321"/>
      <c r="J1825" s="480">
        <f>SUM(J1823:J1824)</f>
        <v>3682415.66</v>
      </c>
      <c r="K1825" s="480">
        <f>SUM(K1823:K1824)</f>
        <v>3682415.66</v>
      </c>
      <c r="L1825" s="482"/>
      <c r="M1825" s="480"/>
      <c r="N1825" s="421">
        <f>AVERAGE(N1823:N1824)</f>
        <v>1</v>
      </c>
      <c r="O1825" s="694"/>
      <c r="P1825" s="176"/>
      <c r="Q1825" s="497"/>
      <c r="R1825" s="496"/>
      <c r="S1825" s="2"/>
      <c r="T1825" s="2"/>
      <c r="U1825" s="2"/>
      <c r="V1825" s="2"/>
    </row>
    <row r="1826" spans="1:22" s="6" customFormat="1" ht="41.25" customHeight="1" x14ac:dyDescent="0.25">
      <c r="A1826" s="1069">
        <v>13</v>
      </c>
      <c r="B1826" s="1080" t="s">
        <v>376</v>
      </c>
      <c r="C1826" s="278" t="s">
        <v>500</v>
      </c>
      <c r="D1826" s="159">
        <v>3834399.72</v>
      </c>
      <c r="E1826" s="710" t="s">
        <v>902</v>
      </c>
      <c r="F1826" s="162" t="s">
        <v>794</v>
      </c>
      <c r="G1826" s="160">
        <v>4680093.26</v>
      </c>
      <c r="H1826" s="161">
        <v>42566</v>
      </c>
      <c r="I1826" s="161">
        <v>42566</v>
      </c>
      <c r="J1826" s="162">
        <v>3834399.7199999997</v>
      </c>
      <c r="K1826" s="162">
        <v>3834399.7199999997</v>
      </c>
      <c r="L1826" s="198"/>
      <c r="M1826" s="275">
        <f>J1826-D1826</f>
        <v>0</v>
      </c>
      <c r="N1826" s="200">
        <v>1</v>
      </c>
      <c r="O1826" s="699"/>
      <c r="P1826" s="176"/>
      <c r="Q1826" s="497"/>
      <c r="R1826" s="620"/>
      <c r="S1826" s="9"/>
      <c r="T1826" s="9"/>
      <c r="U1826" s="9"/>
      <c r="V1826" s="9"/>
    </row>
    <row r="1827" spans="1:22" s="8" customFormat="1" ht="49.5" outlineLevel="1" x14ac:dyDescent="0.25">
      <c r="A1827" s="1070"/>
      <c r="B1827" s="1064"/>
      <c r="C1827" s="356" t="s">
        <v>37</v>
      </c>
      <c r="D1827" s="357">
        <v>78633.81</v>
      </c>
      <c r="E1827" s="690" t="s">
        <v>619</v>
      </c>
      <c r="F1827" s="361" t="s">
        <v>614</v>
      </c>
      <c r="G1827" s="359">
        <f>66638.82*1.18</f>
        <v>78633.8076</v>
      </c>
      <c r="H1827" s="360">
        <v>42429</v>
      </c>
      <c r="I1827" s="360">
        <v>42495</v>
      </c>
      <c r="J1827" s="361">
        <v>78633.81</v>
      </c>
      <c r="K1827" s="361">
        <v>78633.81</v>
      </c>
      <c r="L1827" s="360"/>
      <c r="M1827" s="361"/>
      <c r="N1827" s="362"/>
      <c r="O1827" s="466" t="s">
        <v>734</v>
      </c>
      <c r="P1827" s="176"/>
      <c r="Q1827" s="497"/>
      <c r="R1827" s="496"/>
      <c r="S1827" s="2"/>
      <c r="T1827" s="2"/>
      <c r="U1827" s="2"/>
      <c r="V1827" s="2"/>
    </row>
    <row r="1828" spans="1:22" s="8" customFormat="1" ht="17.25" outlineLevel="1" thickBot="1" x14ac:dyDescent="0.3">
      <c r="A1828" s="1010" t="s">
        <v>628</v>
      </c>
      <c r="B1828" s="1011"/>
      <c r="C1828" s="607"/>
      <c r="D1828" s="480">
        <f>SUM(D1826:D1827)</f>
        <v>3913033.5300000003</v>
      </c>
      <c r="E1828" s="705"/>
      <c r="F1828" s="310"/>
      <c r="G1828" s="693">
        <f>SUM(G1826:G1827)</f>
        <v>4758727.0675999997</v>
      </c>
      <c r="H1828" s="308"/>
      <c r="I1828" s="277"/>
      <c r="J1828" s="480">
        <f t="shared" ref="J1828" si="135">SUM(J1826:J1827)</f>
        <v>3913033.53</v>
      </c>
      <c r="K1828" s="480">
        <f>SUM(K1826:K1827)</f>
        <v>3913033.53</v>
      </c>
      <c r="L1828" s="579"/>
      <c r="M1828" s="577"/>
      <c r="N1828" s="421">
        <f>AVERAGE(N1826:N1827)</f>
        <v>1</v>
      </c>
      <c r="O1828" s="707"/>
      <c r="P1828" s="176"/>
      <c r="Q1828" s="497"/>
      <c r="R1828" s="496"/>
      <c r="S1828" s="2"/>
      <c r="T1828" s="2"/>
      <c r="U1828" s="2"/>
      <c r="V1828" s="2"/>
    </row>
    <row r="1829" spans="1:22" s="6" customFormat="1" ht="31.5" customHeight="1" x14ac:dyDescent="0.25">
      <c r="A1829" s="1071">
        <v>14</v>
      </c>
      <c r="B1829" s="1073" t="s">
        <v>377</v>
      </c>
      <c r="C1829" s="278" t="s">
        <v>500</v>
      </c>
      <c r="D1829" s="159">
        <v>6472611.5199999996</v>
      </c>
      <c r="E1829" s="710" t="s">
        <v>1011</v>
      </c>
      <c r="F1829" s="162" t="s">
        <v>663</v>
      </c>
      <c r="G1829" s="160">
        <v>6966617.3399999999</v>
      </c>
      <c r="H1829" s="161">
        <v>42643</v>
      </c>
      <c r="I1829" s="161">
        <v>42653</v>
      </c>
      <c r="J1829" s="162">
        <v>6472611.5199999996</v>
      </c>
      <c r="K1829" s="162">
        <v>6472611.5199999996</v>
      </c>
      <c r="L1829" s="198"/>
      <c r="M1829" s="199"/>
      <c r="N1829" s="200">
        <v>1</v>
      </c>
      <c r="O1829" s="699"/>
      <c r="P1829" s="176"/>
      <c r="Q1829" s="201" t="s">
        <v>1117</v>
      </c>
      <c r="R1829" s="620"/>
      <c r="S1829" s="9"/>
      <c r="T1829" s="9"/>
      <c r="U1829" s="9"/>
      <c r="V1829" s="9"/>
    </row>
    <row r="1830" spans="1:22" s="8" customFormat="1" ht="49.5" outlineLevel="1" x14ac:dyDescent="0.25">
      <c r="A1830" s="1072"/>
      <c r="B1830" s="1074"/>
      <c r="C1830" s="356" t="s">
        <v>37</v>
      </c>
      <c r="D1830" s="357">
        <v>101449.99</v>
      </c>
      <c r="E1830" s="690" t="s">
        <v>619</v>
      </c>
      <c r="F1830" s="361" t="s">
        <v>614</v>
      </c>
      <c r="G1830" s="359">
        <f>85974.57*1.18</f>
        <v>101449.9926</v>
      </c>
      <c r="H1830" s="360">
        <v>42429</v>
      </c>
      <c r="I1830" s="360">
        <v>42495</v>
      </c>
      <c r="J1830" s="361">
        <v>101449.99</v>
      </c>
      <c r="K1830" s="361">
        <v>101449.99</v>
      </c>
      <c r="L1830" s="360"/>
      <c r="M1830" s="361"/>
      <c r="N1830" s="362"/>
      <c r="O1830" s="466" t="s">
        <v>734</v>
      </c>
      <c r="P1830" s="176"/>
      <c r="Q1830" s="497"/>
      <c r="R1830" s="496"/>
      <c r="S1830" s="2"/>
      <c r="T1830" s="2"/>
      <c r="U1830" s="2"/>
      <c r="V1830" s="2"/>
    </row>
    <row r="1831" spans="1:22" s="8" customFormat="1" ht="17.25" outlineLevel="1" thickBot="1" x14ac:dyDescent="0.3">
      <c r="A1831" s="1010" t="s">
        <v>628</v>
      </c>
      <c r="B1831" s="1011"/>
      <c r="C1831" s="607"/>
      <c r="D1831" s="577">
        <f>SUM(D1829:D1830)</f>
        <v>6574061.5099999998</v>
      </c>
      <c r="E1831" s="705"/>
      <c r="F1831" s="310"/>
      <c r="G1831" s="706">
        <f>SUM(G1829:G1830)</f>
        <v>7068067.3325999994</v>
      </c>
      <c r="H1831" s="308"/>
      <c r="I1831" s="277"/>
      <c r="J1831" s="577">
        <f>SUM(J1829:J1830)</f>
        <v>6574061.5099999998</v>
      </c>
      <c r="K1831" s="577">
        <f>SUM(K1829:K1830)</f>
        <v>6574061.5099999998</v>
      </c>
      <c r="L1831" s="579"/>
      <c r="M1831" s="577"/>
      <c r="N1831" s="421">
        <f>AVERAGE(N1829:N1830)</f>
        <v>1</v>
      </c>
      <c r="O1831" s="694"/>
      <c r="P1831" s="176"/>
      <c r="Q1831" s="497"/>
      <c r="R1831" s="496"/>
      <c r="S1831" s="2"/>
      <c r="T1831" s="2"/>
      <c r="U1831" s="2"/>
      <c r="V1831" s="2"/>
    </row>
    <row r="1832" spans="1:22" s="76" customFormat="1" ht="31.5" customHeight="1" x14ac:dyDescent="0.25">
      <c r="A1832" s="1071">
        <v>15</v>
      </c>
      <c r="B1832" s="1073" t="s">
        <v>378</v>
      </c>
      <c r="C1832" s="278" t="s">
        <v>500</v>
      </c>
      <c r="D1832" s="159">
        <v>3160497.84</v>
      </c>
      <c r="E1832" s="162" t="s">
        <v>1104</v>
      </c>
      <c r="F1832" s="162" t="s">
        <v>661</v>
      </c>
      <c r="G1832" s="162">
        <v>3160497.84</v>
      </c>
      <c r="H1832" s="907">
        <v>42674</v>
      </c>
      <c r="I1832" s="161">
        <v>42706</v>
      </c>
      <c r="J1832" s="162">
        <v>3075763.22</v>
      </c>
      <c r="K1832" s="162">
        <v>3075763.22</v>
      </c>
      <c r="L1832" s="198"/>
      <c r="M1832" s="908"/>
      <c r="N1832" s="909">
        <v>0.6</v>
      </c>
      <c r="O1832" s="718"/>
      <c r="P1832" s="457"/>
      <c r="Q1832" s="622"/>
      <c r="R1832" s="623"/>
      <c r="S1832" s="72"/>
      <c r="T1832" s="72"/>
      <c r="U1832" s="72"/>
      <c r="V1832" s="72"/>
    </row>
    <row r="1833" spans="1:22" s="8" customFormat="1" ht="49.5" outlineLevel="1" x14ac:dyDescent="0.25">
      <c r="A1833" s="1072"/>
      <c r="B1833" s="1074"/>
      <c r="C1833" s="356" t="s">
        <v>37</v>
      </c>
      <c r="D1833" s="357">
        <v>125091.14</v>
      </c>
      <c r="E1833" s="690" t="s">
        <v>619</v>
      </c>
      <c r="F1833" s="361" t="s">
        <v>614</v>
      </c>
      <c r="G1833" s="359">
        <f>106009.44*1.18</f>
        <v>125091.13919999999</v>
      </c>
      <c r="H1833" s="360">
        <v>42429</v>
      </c>
      <c r="I1833" s="360">
        <v>42495</v>
      </c>
      <c r="J1833" s="361">
        <v>125091.14</v>
      </c>
      <c r="K1833" s="361">
        <v>125091.14</v>
      </c>
      <c r="L1833" s="360"/>
      <c r="M1833" s="538"/>
      <c r="N1833" s="539"/>
      <c r="O1833" s="466" t="s">
        <v>734</v>
      </c>
      <c r="P1833" s="176"/>
      <c r="Q1833" s="497"/>
      <c r="R1833" s="496"/>
      <c r="S1833" s="2"/>
      <c r="T1833" s="2"/>
      <c r="U1833" s="2"/>
      <c r="V1833" s="2"/>
    </row>
    <row r="1834" spans="1:22" s="11" customFormat="1" ht="33" outlineLevel="1" x14ac:dyDescent="0.25">
      <c r="A1834" s="1082"/>
      <c r="B1834" s="1088"/>
      <c r="C1834" s="286" t="s">
        <v>1095</v>
      </c>
      <c r="D1834" s="246">
        <v>32978.725558058803</v>
      </c>
      <c r="E1834" s="705"/>
      <c r="F1834" s="310"/>
      <c r="G1834" s="708"/>
      <c r="H1834" s="308"/>
      <c r="I1834" s="308"/>
      <c r="J1834" s="310"/>
      <c r="K1834" s="310"/>
      <c r="L1834" s="308"/>
      <c r="M1834" s="310"/>
      <c r="N1834" s="709"/>
      <c r="O1834" s="287"/>
      <c r="P1834" s="176"/>
      <c r="Q1834" s="446"/>
      <c r="R1834" s="335"/>
      <c r="S1834" s="2"/>
      <c r="T1834" s="2"/>
      <c r="U1834" s="2"/>
      <c r="V1834" s="2"/>
    </row>
    <row r="1835" spans="1:22" s="8" customFormat="1" ht="17.25" outlineLevel="1" thickBot="1" x14ac:dyDescent="0.3">
      <c r="A1835" s="1006" t="s">
        <v>628</v>
      </c>
      <c r="B1835" s="1007"/>
      <c r="C1835" s="691"/>
      <c r="D1835" s="480">
        <f>SUM(D1832:D1834)</f>
        <v>3318567.7055580588</v>
      </c>
      <c r="E1835" s="692"/>
      <c r="F1835" s="677"/>
      <c r="G1835" s="693">
        <f>SUM(G1832:G1833)</f>
        <v>3285588.9791999999</v>
      </c>
      <c r="H1835" s="309"/>
      <c r="I1835" s="321"/>
      <c r="J1835" s="480">
        <f>SUM(J1832:J1833)</f>
        <v>3200854.3600000003</v>
      </c>
      <c r="K1835" s="480">
        <f>SUM(K1832:K1833)</f>
        <v>3200854.3600000003</v>
      </c>
      <c r="L1835" s="482"/>
      <c r="M1835" s="887"/>
      <c r="N1835" s="878">
        <f>AVERAGE(N1832:N1833)</f>
        <v>0.6</v>
      </c>
      <c r="O1835" s="694"/>
      <c r="P1835" s="176"/>
      <c r="Q1835" s="497"/>
      <c r="R1835" s="496"/>
      <c r="S1835" s="2"/>
      <c r="T1835" s="2"/>
      <c r="U1835" s="2"/>
      <c r="V1835" s="2"/>
    </row>
    <row r="1836" spans="1:22" s="6" customFormat="1" ht="46.5" customHeight="1" x14ac:dyDescent="0.25">
      <c r="A1836" s="1071">
        <v>16</v>
      </c>
      <c r="B1836" s="1073" t="s">
        <v>379</v>
      </c>
      <c r="C1836" s="278" t="s">
        <v>500</v>
      </c>
      <c r="D1836" s="159">
        <v>5911696.5300000003</v>
      </c>
      <c r="E1836" s="710" t="s">
        <v>974</v>
      </c>
      <c r="F1836" s="162" t="s">
        <v>794</v>
      </c>
      <c r="G1836" s="160">
        <v>6890000</v>
      </c>
      <c r="H1836" s="161">
        <v>42613</v>
      </c>
      <c r="I1836" s="161">
        <v>42614</v>
      </c>
      <c r="J1836" s="162">
        <v>5911696.5300000003</v>
      </c>
      <c r="K1836" s="162">
        <v>5911696.5300000003</v>
      </c>
      <c r="L1836" s="198"/>
      <c r="M1836" s="199"/>
      <c r="N1836" s="200">
        <v>1</v>
      </c>
      <c r="O1836" s="699"/>
      <c r="P1836" s="176"/>
      <c r="Q1836" s="497"/>
      <c r="R1836" s="620"/>
      <c r="S1836" s="9"/>
      <c r="T1836" s="9"/>
      <c r="U1836" s="9"/>
      <c r="V1836" s="9"/>
    </row>
    <row r="1837" spans="1:22" s="8" customFormat="1" ht="49.5" outlineLevel="1" x14ac:dyDescent="0.25">
      <c r="A1837" s="1072"/>
      <c r="B1837" s="1074"/>
      <c r="C1837" s="356" t="s">
        <v>37</v>
      </c>
      <c r="D1837" s="357">
        <v>100475.57</v>
      </c>
      <c r="E1837" s="690" t="s">
        <v>619</v>
      </c>
      <c r="F1837" s="361" t="s">
        <v>614</v>
      </c>
      <c r="G1837" s="359">
        <f>85148.79*1.18</f>
        <v>100475.57219999998</v>
      </c>
      <c r="H1837" s="360">
        <v>42429</v>
      </c>
      <c r="I1837" s="360">
        <v>42495</v>
      </c>
      <c r="J1837" s="361">
        <v>100475.57</v>
      </c>
      <c r="K1837" s="361">
        <v>100475.57</v>
      </c>
      <c r="L1837" s="360"/>
      <c r="M1837" s="361"/>
      <c r="N1837" s="362"/>
      <c r="O1837" s="466" t="s">
        <v>734</v>
      </c>
      <c r="P1837" s="176"/>
      <c r="Q1837" s="497"/>
      <c r="R1837" s="496"/>
      <c r="S1837" s="2"/>
      <c r="T1837" s="2"/>
      <c r="U1837" s="2"/>
      <c r="V1837" s="2"/>
    </row>
    <row r="1838" spans="1:22" s="8" customFormat="1" ht="17.25" outlineLevel="1" thickBot="1" x14ac:dyDescent="0.3">
      <c r="A1838" s="1006" t="s">
        <v>628</v>
      </c>
      <c r="B1838" s="1007"/>
      <c r="C1838" s="691"/>
      <c r="D1838" s="480">
        <f>SUM(D1836:D1837)</f>
        <v>6012172.1000000006</v>
      </c>
      <c r="E1838" s="692"/>
      <c r="F1838" s="677"/>
      <c r="G1838" s="693">
        <f>SUM(G1836:G1837)</f>
        <v>6990475.5722000003</v>
      </c>
      <c r="H1838" s="309"/>
      <c r="I1838" s="321"/>
      <c r="J1838" s="480">
        <f>SUM(J1836:J1837)</f>
        <v>6012172.1000000006</v>
      </c>
      <c r="K1838" s="480">
        <f>SUM(K1836:K1837)</f>
        <v>6012172.1000000006</v>
      </c>
      <c r="L1838" s="482"/>
      <c r="M1838" s="480"/>
      <c r="N1838" s="421">
        <f>AVERAGE(N1836:N1837)</f>
        <v>1</v>
      </c>
      <c r="O1838" s="694"/>
      <c r="P1838" s="176"/>
      <c r="Q1838" s="497"/>
      <c r="R1838" s="496"/>
      <c r="S1838" s="2"/>
      <c r="T1838" s="2"/>
      <c r="U1838" s="2"/>
      <c r="V1838" s="2"/>
    </row>
    <row r="1839" spans="1:22" s="6" customFormat="1" ht="31.5" customHeight="1" x14ac:dyDescent="0.25">
      <c r="A1839" s="1069">
        <v>1</v>
      </c>
      <c r="B1839" s="1075" t="s">
        <v>380</v>
      </c>
      <c r="C1839" s="278" t="s">
        <v>500</v>
      </c>
      <c r="D1839" s="159">
        <v>7666055.2599999998</v>
      </c>
      <c r="E1839" s="710" t="s">
        <v>664</v>
      </c>
      <c r="F1839" s="162" t="s">
        <v>661</v>
      </c>
      <c r="G1839" s="160">
        <v>7511308.8799999999</v>
      </c>
      <c r="H1839" s="161">
        <v>42471</v>
      </c>
      <c r="I1839" s="161">
        <v>42470</v>
      </c>
      <c r="J1839" s="162">
        <v>7666055.2599999998</v>
      </c>
      <c r="K1839" s="162">
        <v>7666055.2599999998</v>
      </c>
      <c r="L1839" s="161"/>
      <c r="M1839" s="162">
        <f>J1839-D1839</f>
        <v>0</v>
      </c>
      <c r="N1839" s="200">
        <v>1</v>
      </c>
      <c r="O1839" s="718"/>
      <c r="P1839" s="176"/>
      <c r="Q1839" s="497"/>
      <c r="R1839" s="620"/>
      <c r="S1839" s="9"/>
      <c r="T1839" s="9"/>
      <c r="U1839" s="9"/>
      <c r="V1839" s="9"/>
    </row>
    <row r="1840" spans="1:22" s="8" customFormat="1" ht="49.5" outlineLevel="1" x14ac:dyDescent="0.25">
      <c r="A1840" s="1070"/>
      <c r="B1840" s="1076"/>
      <c r="C1840" s="356" t="s">
        <v>37</v>
      </c>
      <c r="D1840" s="357">
        <v>66971.539999999994</v>
      </c>
      <c r="E1840" s="690" t="s">
        <v>621</v>
      </c>
      <c r="F1840" s="361" t="s">
        <v>614</v>
      </c>
      <c r="G1840" s="359">
        <v>66971.539999999994</v>
      </c>
      <c r="H1840" s="360">
        <v>42384</v>
      </c>
      <c r="I1840" s="360">
        <v>42367</v>
      </c>
      <c r="J1840" s="361">
        <v>56755.55</v>
      </c>
      <c r="K1840" s="361">
        <v>56755.549999999996</v>
      </c>
      <c r="L1840" s="360">
        <v>42732</v>
      </c>
      <c r="M1840" s="361"/>
      <c r="N1840" s="362"/>
      <c r="O1840" s="466" t="s">
        <v>711</v>
      </c>
      <c r="P1840" s="176"/>
      <c r="Q1840" s="497"/>
      <c r="R1840" s="496"/>
      <c r="S1840" s="2"/>
      <c r="T1840" s="2"/>
      <c r="U1840" s="2"/>
      <c r="V1840" s="2"/>
    </row>
    <row r="1841" spans="1:22" s="8" customFormat="1" ht="17.25" outlineLevel="1" thickBot="1" x14ac:dyDescent="0.3">
      <c r="A1841" s="1006" t="s">
        <v>628</v>
      </c>
      <c r="B1841" s="1007"/>
      <c r="C1841" s="691"/>
      <c r="D1841" s="480">
        <f>SUM(D1839:D1840)</f>
        <v>7733026.7999999998</v>
      </c>
      <c r="E1841" s="692"/>
      <c r="F1841" s="677"/>
      <c r="G1841" s="693">
        <f>SUM(G1839:G1840)</f>
        <v>7578280.4199999999</v>
      </c>
      <c r="H1841" s="309"/>
      <c r="I1841" s="321"/>
      <c r="J1841" s="480">
        <f>SUM(J1839:J1840)</f>
        <v>7722810.8099999996</v>
      </c>
      <c r="K1841" s="480">
        <f>SUM(K1839:K1840)</f>
        <v>7722810.8099999996</v>
      </c>
      <c r="L1841" s="482"/>
      <c r="M1841" s="480"/>
      <c r="N1841" s="421">
        <f>AVERAGE(N1839:N1840)</f>
        <v>1</v>
      </c>
      <c r="O1841" s="694"/>
      <c r="P1841" s="176"/>
      <c r="Q1841" s="497"/>
      <c r="R1841" s="496"/>
      <c r="S1841" s="2"/>
      <c r="T1841" s="2"/>
      <c r="U1841" s="2"/>
      <c r="V1841" s="2"/>
    </row>
    <row r="1842" spans="1:22" s="6" customFormat="1" ht="33" x14ac:dyDescent="0.25">
      <c r="A1842" s="1082">
        <v>2</v>
      </c>
      <c r="B1842" s="1081" t="s">
        <v>381</v>
      </c>
      <c r="C1842" s="714" t="s">
        <v>500</v>
      </c>
      <c r="D1842" s="272">
        <v>7033236.5599999996</v>
      </c>
      <c r="E1842" s="700" t="s">
        <v>665</v>
      </c>
      <c r="F1842" s="275" t="s">
        <v>663</v>
      </c>
      <c r="G1842" s="274">
        <v>7445094.3600000003</v>
      </c>
      <c r="H1842" s="212">
        <v>42470</v>
      </c>
      <c r="I1842" s="212">
        <v>42468</v>
      </c>
      <c r="J1842" s="275">
        <v>7033236.5600000005</v>
      </c>
      <c r="K1842" s="275">
        <v>7033236.5600000005</v>
      </c>
      <c r="L1842" s="212"/>
      <c r="M1842" s="275">
        <f>J1842-D1842</f>
        <v>0</v>
      </c>
      <c r="N1842" s="488">
        <v>1</v>
      </c>
      <c r="O1842" s="809"/>
      <c r="P1842" s="176"/>
      <c r="Q1842" s="497"/>
      <c r="R1842" s="620"/>
      <c r="S1842" s="9"/>
      <c r="T1842" s="9"/>
      <c r="U1842" s="9"/>
      <c r="V1842" s="9"/>
    </row>
    <row r="1843" spans="1:22" s="8" customFormat="1" ht="49.5" outlineLevel="1" x14ac:dyDescent="0.25">
      <c r="A1843" s="1070"/>
      <c r="B1843" s="1076"/>
      <c r="C1843" s="356" t="s">
        <v>37</v>
      </c>
      <c r="D1843" s="357">
        <v>66971.539999999994</v>
      </c>
      <c r="E1843" s="690" t="s">
        <v>621</v>
      </c>
      <c r="F1843" s="361" t="s">
        <v>614</v>
      </c>
      <c r="G1843" s="359">
        <v>66971.539999999994</v>
      </c>
      <c r="H1843" s="360">
        <v>42384</v>
      </c>
      <c r="I1843" s="360">
        <v>42367</v>
      </c>
      <c r="J1843" s="361">
        <v>56755.55</v>
      </c>
      <c r="K1843" s="361">
        <v>56755.549999999996</v>
      </c>
      <c r="L1843" s="360">
        <v>42732</v>
      </c>
      <c r="M1843" s="361"/>
      <c r="N1843" s="362"/>
      <c r="O1843" s="466" t="s">
        <v>734</v>
      </c>
      <c r="P1843" s="176"/>
      <c r="Q1843" s="497"/>
      <c r="R1843" s="496"/>
      <c r="S1843" s="2"/>
      <c r="T1843" s="2"/>
      <c r="U1843" s="2"/>
      <c r="V1843" s="2"/>
    </row>
    <row r="1844" spans="1:22" s="8" customFormat="1" ht="17.25" outlineLevel="1" thickBot="1" x14ac:dyDescent="0.3">
      <c r="A1844" s="1006" t="s">
        <v>628</v>
      </c>
      <c r="B1844" s="1007"/>
      <c r="C1844" s="691"/>
      <c r="D1844" s="480">
        <f>SUM(D1842:D1843)</f>
        <v>7100208.0999999996</v>
      </c>
      <c r="E1844" s="692"/>
      <c r="F1844" s="677"/>
      <c r="G1844" s="693">
        <f>SUM(G1842:G1843)</f>
        <v>7512065.9000000004</v>
      </c>
      <c r="H1844" s="309"/>
      <c r="I1844" s="321"/>
      <c r="J1844" s="480">
        <f>SUM(J1842:J1843)</f>
        <v>7089992.1100000003</v>
      </c>
      <c r="K1844" s="480">
        <f>SUM(K1842:K1843)</f>
        <v>7089992.1100000003</v>
      </c>
      <c r="L1844" s="482"/>
      <c r="M1844" s="480"/>
      <c r="N1844" s="421">
        <f>AVERAGE(N1842:N1843)</f>
        <v>1</v>
      </c>
      <c r="O1844" s="694"/>
      <c r="P1844" s="176"/>
      <c r="Q1844" s="497"/>
      <c r="R1844" s="496"/>
      <c r="S1844" s="2"/>
      <c r="T1844" s="2"/>
      <c r="U1844" s="2"/>
      <c r="V1844" s="2"/>
    </row>
    <row r="1845" spans="1:22" s="6" customFormat="1" ht="32.25" customHeight="1" x14ac:dyDescent="0.25">
      <c r="A1845" s="1069">
        <v>3</v>
      </c>
      <c r="B1845" s="1080" t="s">
        <v>382</v>
      </c>
      <c r="C1845" s="278" t="s">
        <v>500</v>
      </c>
      <c r="D1845" s="159">
        <v>5569494.4299999997</v>
      </c>
      <c r="E1845" s="710" t="s">
        <v>872</v>
      </c>
      <c r="F1845" s="162" t="s">
        <v>873</v>
      </c>
      <c r="G1845" s="160">
        <v>5877900</v>
      </c>
      <c r="H1845" s="161">
        <v>42587</v>
      </c>
      <c r="I1845" s="161">
        <v>42600</v>
      </c>
      <c r="J1845" s="477">
        <v>5569494.4299999997</v>
      </c>
      <c r="K1845" s="477">
        <v>5569494.4299999997</v>
      </c>
      <c r="L1845" s="161"/>
      <c r="M1845" s="162"/>
      <c r="N1845" s="200">
        <v>1</v>
      </c>
      <c r="O1845" s="699"/>
      <c r="P1845" s="176"/>
      <c r="Q1845" s="497"/>
      <c r="R1845" s="620"/>
      <c r="S1845" s="9"/>
      <c r="T1845" s="9"/>
      <c r="U1845" s="9"/>
      <c r="V1845" s="9"/>
    </row>
    <row r="1846" spans="1:22" s="8" customFormat="1" ht="49.5" outlineLevel="1" x14ac:dyDescent="0.25">
      <c r="A1846" s="1070"/>
      <c r="B1846" s="1064"/>
      <c r="C1846" s="356" t="s">
        <v>37</v>
      </c>
      <c r="D1846" s="357">
        <v>82335.31</v>
      </c>
      <c r="E1846" s="690" t="s">
        <v>619</v>
      </c>
      <c r="F1846" s="361" t="s">
        <v>614</v>
      </c>
      <c r="G1846" s="359">
        <f>69775.69*1.18</f>
        <v>82335.314199999993</v>
      </c>
      <c r="H1846" s="360">
        <v>42429</v>
      </c>
      <c r="I1846" s="360">
        <v>42495</v>
      </c>
      <c r="J1846" s="361">
        <v>82335.31</v>
      </c>
      <c r="K1846" s="361">
        <v>82335.31</v>
      </c>
      <c r="L1846" s="360"/>
      <c r="M1846" s="361"/>
      <c r="N1846" s="362"/>
      <c r="O1846" s="466" t="s">
        <v>734</v>
      </c>
      <c r="P1846" s="176"/>
      <c r="Q1846" s="497"/>
      <c r="R1846" s="496"/>
      <c r="S1846" s="2"/>
      <c r="T1846" s="2"/>
      <c r="U1846" s="2"/>
      <c r="V1846" s="2"/>
    </row>
    <row r="1847" spans="1:22" s="8" customFormat="1" ht="17.25" outlineLevel="1" thickBot="1" x14ac:dyDescent="0.3">
      <c r="A1847" s="1006" t="s">
        <v>628</v>
      </c>
      <c r="B1847" s="1007"/>
      <c r="C1847" s="691"/>
      <c r="D1847" s="480">
        <f>SUM(D1845:D1846)</f>
        <v>5651829.7399999993</v>
      </c>
      <c r="E1847" s="692"/>
      <c r="F1847" s="677"/>
      <c r="G1847" s="693">
        <f>SUM(G1845:G1846)</f>
        <v>5960235.3141999999</v>
      </c>
      <c r="H1847" s="309"/>
      <c r="I1847" s="321"/>
      <c r="J1847" s="480">
        <f>SUM(J1845:J1846)</f>
        <v>5651829.7399999993</v>
      </c>
      <c r="K1847" s="480">
        <f>SUM(K1845:K1846)</f>
        <v>5651829.7399999993</v>
      </c>
      <c r="L1847" s="482"/>
      <c r="M1847" s="480"/>
      <c r="N1847" s="421">
        <f>AVERAGE(N1845:N1846)</f>
        <v>1</v>
      </c>
      <c r="O1847" s="694"/>
      <c r="P1847" s="176"/>
      <c r="Q1847" s="497"/>
      <c r="R1847" s="496"/>
      <c r="S1847" s="2"/>
      <c r="T1847" s="2"/>
      <c r="U1847" s="2"/>
      <c r="V1847" s="2"/>
    </row>
    <row r="1848" spans="1:22" s="6" customFormat="1" ht="15" customHeight="1" x14ac:dyDescent="0.25">
      <c r="A1848" s="1071">
        <v>4</v>
      </c>
      <c r="B1848" s="1073" t="s">
        <v>383</v>
      </c>
      <c r="C1848" s="278" t="s">
        <v>500</v>
      </c>
      <c r="D1848" s="159">
        <v>5293814.74</v>
      </c>
      <c r="E1848" s="710" t="s">
        <v>1023</v>
      </c>
      <c r="F1848" s="162" t="s">
        <v>1024</v>
      </c>
      <c r="G1848" s="160">
        <v>6231931</v>
      </c>
      <c r="H1848" s="161">
        <v>42623</v>
      </c>
      <c r="I1848" s="161">
        <v>42639</v>
      </c>
      <c r="J1848" s="162">
        <v>5293814.74</v>
      </c>
      <c r="K1848" s="162">
        <v>5293814.74</v>
      </c>
      <c r="L1848" s="198"/>
      <c r="M1848" s="199"/>
      <c r="N1848" s="200">
        <v>1</v>
      </c>
      <c r="O1848" s="699"/>
      <c r="P1848" s="176"/>
      <c r="Q1848" s="497"/>
      <c r="R1848" s="620"/>
      <c r="S1848" s="9"/>
      <c r="T1848" s="9"/>
      <c r="U1848" s="9"/>
      <c r="V1848" s="9"/>
    </row>
    <row r="1849" spans="1:22" s="8" customFormat="1" ht="49.5" outlineLevel="1" x14ac:dyDescent="0.25">
      <c r="A1849" s="1072"/>
      <c r="B1849" s="1074"/>
      <c r="C1849" s="356" t="s">
        <v>37</v>
      </c>
      <c r="D1849" s="357">
        <v>82039.77</v>
      </c>
      <c r="E1849" s="690" t="s">
        <v>619</v>
      </c>
      <c r="F1849" s="361" t="s">
        <v>614</v>
      </c>
      <c r="G1849" s="359">
        <f>69525.23*1.18</f>
        <v>82039.771399999998</v>
      </c>
      <c r="H1849" s="360">
        <v>42429</v>
      </c>
      <c r="I1849" s="360">
        <v>42495</v>
      </c>
      <c r="J1849" s="361">
        <v>82039.77</v>
      </c>
      <c r="K1849" s="361">
        <v>82039.77</v>
      </c>
      <c r="L1849" s="360"/>
      <c r="M1849" s="361"/>
      <c r="N1849" s="362"/>
      <c r="O1849" s="466" t="s">
        <v>734</v>
      </c>
      <c r="P1849" s="176"/>
      <c r="Q1849" s="497"/>
      <c r="R1849" s="496"/>
      <c r="S1849" s="2"/>
      <c r="T1849" s="2"/>
      <c r="U1849" s="2"/>
      <c r="V1849" s="2"/>
    </row>
    <row r="1850" spans="1:22" s="8" customFormat="1" ht="17.25" outlineLevel="1" thickBot="1" x14ac:dyDescent="0.3">
      <c r="A1850" s="1006" t="s">
        <v>628</v>
      </c>
      <c r="B1850" s="1007"/>
      <c r="C1850" s="691"/>
      <c r="D1850" s="480">
        <f>SUM(D1848:D1849)</f>
        <v>5375854.5099999998</v>
      </c>
      <c r="E1850" s="692"/>
      <c r="F1850" s="677"/>
      <c r="G1850" s="693">
        <f>SUM(G1848:G1849)</f>
        <v>6313970.7714</v>
      </c>
      <c r="H1850" s="309"/>
      <c r="I1850" s="321"/>
      <c r="J1850" s="480">
        <f>SUM(J1848:J1849)</f>
        <v>5375854.5099999998</v>
      </c>
      <c r="K1850" s="480">
        <f>SUM(K1848:K1849)</f>
        <v>5375854.5099999998</v>
      </c>
      <c r="L1850" s="482"/>
      <c r="M1850" s="480"/>
      <c r="N1850" s="421">
        <f>AVERAGE(N1848:N1849)</f>
        <v>1</v>
      </c>
      <c r="O1850" s="694"/>
      <c r="P1850" s="176"/>
      <c r="Q1850" s="497"/>
      <c r="R1850" s="496"/>
      <c r="S1850" s="2"/>
      <c r="T1850" s="2"/>
      <c r="U1850" s="2"/>
      <c r="V1850" s="2"/>
    </row>
    <row r="1851" spans="1:22" s="6" customFormat="1" ht="28.5" customHeight="1" x14ac:dyDescent="0.25">
      <c r="A1851" s="1069">
        <v>5</v>
      </c>
      <c r="B1851" s="1080" t="s">
        <v>384</v>
      </c>
      <c r="C1851" s="278" t="s">
        <v>500</v>
      </c>
      <c r="D1851" s="159">
        <v>11964796.199999999</v>
      </c>
      <c r="E1851" s="710" t="s">
        <v>844</v>
      </c>
      <c r="F1851" s="162" t="s">
        <v>663</v>
      </c>
      <c r="G1851" s="160">
        <v>11645357.369999999</v>
      </c>
      <c r="H1851" s="161">
        <v>42566</v>
      </c>
      <c r="I1851" s="161">
        <v>42572</v>
      </c>
      <c r="J1851" s="162">
        <v>11964796.200000001</v>
      </c>
      <c r="K1851" s="162">
        <v>11964796.200000001</v>
      </c>
      <c r="L1851" s="198"/>
      <c r="M1851" s="162">
        <f>J1851-D1851</f>
        <v>0</v>
      </c>
      <c r="N1851" s="200">
        <v>1</v>
      </c>
      <c r="O1851" s="699"/>
      <c r="P1851" s="176"/>
      <c r="Q1851" s="497"/>
      <c r="R1851" s="620"/>
      <c r="S1851" s="9"/>
      <c r="T1851" s="9"/>
      <c r="U1851" s="9"/>
      <c r="V1851" s="9"/>
    </row>
    <row r="1852" spans="1:22" s="8" customFormat="1" ht="49.5" outlineLevel="1" x14ac:dyDescent="0.25">
      <c r="A1852" s="1070"/>
      <c r="B1852" s="1064"/>
      <c r="C1852" s="356" t="s">
        <v>37</v>
      </c>
      <c r="D1852" s="357">
        <v>111054.91</v>
      </c>
      <c r="E1852" s="690" t="s">
        <v>619</v>
      </c>
      <c r="F1852" s="361" t="s">
        <v>614</v>
      </c>
      <c r="G1852" s="359">
        <f>94114.33*1.18</f>
        <v>111054.90939999999</v>
      </c>
      <c r="H1852" s="360">
        <v>42429</v>
      </c>
      <c r="I1852" s="360">
        <v>42495</v>
      </c>
      <c r="J1852" s="361">
        <v>111054.91</v>
      </c>
      <c r="K1852" s="361">
        <v>111054.91</v>
      </c>
      <c r="L1852" s="360"/>
      <c r="M1852" s="361"/>
      <c r="N1852" s="362"/>
      <c r="O1852" s="466" t="s">
        <v>734</v>
      </c>
      <c r="P1852" s="176"/>
      <c r="Q1852" s="497"/>
      <c r="R1852" s="496"/>
      <c r="S1852" s="2"/>
      <c r="T1852" s="2"/>
      <c r="U1852" s="2"/>
      <c r="V1852" s="2"/>
    </row>
    <row r="1853" spans="1:22" s="8" customFormat="1" ht="17.25" outlineLevel="1" thickBot="1" x14ac:dyDescent="0.3">
      <c r="A1853" s="1006" t="s">
        <v>628</v>
      </c>
      <c r="B1853" s="1007"/>
      <c r="C1853" s="691"/>
      <c r="D1853" s="480">
        <f>SUM(D1851:D1852)</f>
        <v>12075851.109999999</v>
      </c>
      <c r="E1853" s="692"/>
      <c r="F1853" s="677"/>
      <c r="G1853" s="693">
        <f>SUM(G1851:G1852)</f>
        <v>11756412.279399998</v>
      </c>
      <c r="H1853" s="309"/>
      <c r="I1853" s="321"/>
      <c r="J1853" s="191">
        <f>J1851+J1852</f>
        <v>12075851.110000001</v>
      </c>
      <c r="K1853" s="480">
        <f>SUM(K1851:K1852)</f>
        <v>12075851.110000001</v>
      </c>
      <c r="L1853" s="482"/>
      <c r="M1853" s="480"/>
      <c r="N1853" s="421">
        <f>AVERAGE(N1851:N1852)</f>
        <v>1</v>
      </c>
      <c r="O1853" s="694"/>
      <c r="P1853" s="176"/>
      <c r="Q1853" s="497"/>
      <c r="R1853" s="496"/>
      <c r="S1853" s="2"/>
      <c r="T1853" s="2"/>
      <c r="U1853" s="2"/>
      <c r="V1853" s="2"/>
    </row>
    <row r="1854" spans="1:22" s="6" customFormat="1" ht="32.25" customHeight="1" x14ac:dyDescent="0.25">
      <c r="A1854" s="1082">
        <v>6</v>
      </c>
      <c r="B1854" s="1081" t="s">
        <v>385</v>
      </c>
      <c r="C1854" s="714" t="s">
        <v>500</v>
      </c>
      <c r="D1854" s="272">
        <v>3018381</v>
      </c>
      <c r="E1854" s="700" t="s">
        <v>843</v>
      </c>
      <c r="F1854" s="275" t="s">
        <v>816</v>
      </c>
      <c r="G1854" s="274">
        <v>3130420.82</v>
      </c>
      <c r="H1854" s="212">
        <v>42581</v>
      </c>
      <c r="I1854" s="212">
        <v>42520</v>
      </c>
      <c r="J1854" s="275">
        <v>3018381</v>
      </c>
      <c r="K1854" s="275">
        <v>3018381</v>
      </c>
      <c r="L1854" s="212"/>
      <c r="M1854" s="275">
        <f>J1854-D1854</f>
        <v>0</v>
      </c>
      <c r="N1854" s="488">
        <v>1</v>
      </c>
      <c r="O1854" s="809"/>
      <c r="P1854" s="176"/>
      <c r="Q1854" s="497"/>
      <c r="R1854" s="620"/>
      <c r="S1854" s="9"/>
      <c r="T1854" s="9"/>
      <c r="U1854" s="9"/>
      <c r="V1854" s="9"/>
    </row>
    <row r="1855" spans="1:22" s="8" customFormat="1" ht="49.5" outlineLevel="1" x14ac:dyDescent="0.25">
      <c r="A1855" s="1070"/>
      <c r="B1855" s="1076"/>
      <c r="C1855" s="356" t="s">
        <v>37</v>
      </c>
      <c r="D1855" s="357">
        <v>64457.34</v>
      </c>
      <c r="E1855" s="690" t="s">
        <v>621</v>
      </c>
      <c r="F1855" s="361" t="s">
        <v>614</v>
      </c>
      <c r="G1855" s="359">
        <v>64457.34</v>
      </c>
      <c r="H1855" s="360">
        <v>42384</v>
      </c>
      <c r="I1855" s="360">
        <v>42464</v>
      </c>
      <c r="J1855" s="361">
        <v>54624.87</v>
      </c>
      <c r="K1855" s="361">
        <v>54624.869999999995</v>
      </c>
      <c r="L1855" s="360">
        <v>42732</v>
      </c>
      <c r="M1855" s="361"/>
      <c r="N1855" s="362"/>
      <c r="O1855" s="466" t="s">
        <v>734</v>
      </c>
      <c r="P1855" s="176"/>
      <c r="Q1855" s="497"/>
      <c r="R1855" s="496"/>
      <c r="S1855" s="2"/>
      <c r="T1855" s="2"/>
      <c r="U1855" s="2"/>
      <c r="V1855" s="2"/>
    </row>
    <row r="1856" spans="1:22" s="8" customFormat="1" ht="17.25" outlineLevel="1" thickBot="1" x14ac:dyDescent="0.3">
      <c r="A1856" s="1006" t="s">
        <v>628</v>
      </c>
      <c r="B1856" s="1007"/>
      <c r="C1856" s="691"/>
      <c r="D1856" s="480">
        <f>SUM(D1854:D1855)</f>
        <v>3082838.34</v>
      </c>
      <c r="E1856" s="692"/>
      <c r="F1856" s="677"/>
      <c r="G1856" s="693">
        <f>SUM(G1854:G1855)</f>
        <v>3194878.1599999997</v>
      </c>
      <c r="H1856" s="309"/>
      <c r="I1856" s="321"/>
      <c r="J1856" s="480">
        <f t="shared" ref="J1856" si="136">SUM(J1854:J1855)</f>
        <v>3073005.87</v>
      </c>
      <c r="K1856" s="480">
        <f>SUM(K1854:K1855)</f>
        <v>3073005.87</v>
      </c>
      <c r="L1856" s="482"/>
      <c r="M1856" s="480"/>
      <c r="N1856" s="421">
        <f>AVERAGE(N1854:N1855)</f>
        <v>1</v>
      </c>
      <c r="O1856" s="694"/>
      <c r="P1856" s="176"/>
      <c r="Q1856" s="497"/>
      <c r="R1856" s="496"/>
      <c r="S1856" s="2"/>
      <c r="T1856" s="2"/>
      <c r="U1856" s="2"/>
      <c r="V1856" s="2"/>
    </row>
    <row r="1857" spans="1:22" s="6" customFormat="1" ht="33.75" customHeight="1" x14ac:dyDescent="0.25">
      <c r="A1857" s="1069">
        <v>7</v>
      </c>
      <c r="B1857" s="1075" t="s">
        <v>386</v>
      </c>
      <c r="C1857" s="278" t="s">
        <v>500</v>
      </c>
      <c r="D1857" s="159">
        <v>3374097.92</v>
      </c>
      <c r="E1857" s="710" t="s">
        <v>748</v>
      </c>
      <c r="F1857" s="162" t="s">
        <v>741</v>
      </c>
      <c r="G1857" s="160">
        <v>3407574.5</v>
      </c>
      <c r="H1857" s="161">
        <v>42505</v>
      </c>
      <c r="I1857" s="161">
        <v>42473</v>
      </c>
      <c r="J1857" s="162">
        <v>3374097.92</v>
      </c>
      <c r="K1857" s="162">
        <v>3374097.92</v>
      </c>
      <c r="L1857" s="161"/>
      <c r="M1857" s="275">
        <f>J1857-D1857</f>
        <v>0</v>
      </c>
      <c r="N1857" s="200">
        <v>1</v>
      </c>
      <c r="O1857" s="718"/>
      <c r="P1857" s="176"/>
      <c r="Q1857" s="497"/>
      <c r="R1857" s="620"/>
      <c r="S1857" s="9"/>
      <c r="T1857" s="9"/>
      <c r="U1857" s="9"/>
      <c r="V1857" s="9"/>
    </row>
    <row r="1858" spans="1:22" s="8" customFormat="1" ht="39.75" customHeight="1" outlineLevel="1" x14ac:dyDescent="0.25">
      <c r="A1858" s="1070"/>
      <c r="B1858" s="1076"/>
      <c r="C1858" s="281" t="s">
        <v>501</v>
      </c>
      <c r="D1858" s="208">
        <v>4015093.96</v>
      </c>
      <c r="E1858" s="910" t="s">
        <v>968</v>
      </c>
      <c r="F1858" s="163" t="s">
        <v>969</v>
      </c>
      <c r="G1858" s="209"/>
      <c r="H1858" s="210">
        <v>42628</v>
      </c>
      <c r="I1858" s="210">
        <v>42662</v>
      </c>
      <c r="J1858" s="163">
        <v>3618149.04</v>
      </c>
      <c r="K1858" s="163">
        <v>3618149.04</v>
      </c>
      <c r="L1858" s="210"/>
      <c r="M1858" s="163"/>
      <c r="N1858" s="213">
        <v>1</v>
      </c>
      <c r="O1858" s="704"/>
      <c r="P1858" s="176"/>
      <c r="Q1858" s="497" t="s">
        <v>1116</v>
      </c>
      <c r="R1858" s="496"/>
      <c r="S1858" s="2"/>
      <c r="T1858" s="2"/>
      <c r="U1858" s="2"/>
      <c r="V1858" s="2"/>
    </row>
    <row r="1859" spans="1:22" s="8" customFormat="1" ht="49.5" outlineLevel="1" x14ac:dyDescent="0.25">
      <c r="A1859" s="1070"/>
      <c r="B1859" s="1076"/>
      <c r="C1859" s="356" t="s">
        <v>37</v>
      </c>
      <c r="D1859" s="357">
        <v>136739.04</v>
      </c>
      <c r="E1859" s="690" t="s">
        <v>621</v>
      </c>
      <c r="F1859" s="361" t="s">
        <v>614</v>
      </c>
      <c r="G1859" s="359">
        <v>136739.04</v>
      </c>
      <c r="H1859" s="360">
        <v>42384</v>
      </c>
      <c r="I1859" s="360">
        <v>42527</v>
      </c>
      <c r="J1859" s="361">
        <v>115880.55</v>
      </c>
      <c r="K1859" s="361">
        <v>115880.55</v>
      </c>
      <c r="L1859" s="360">
        <v>42732</v>
      </c>
      <c r="M1859" s="361"/>
      <c r="N1859" s="362"/>
      <c r="O1859" s="466" t="s">
        <v>735</v>
      </c>
      <c r="P1859" s="176"/>
      <c r="Q1859" s="497"/>
      <c r="R1859" s="496"/>
      <c r="S1859" s="2"/>
      <c r="T1859" s="2"/>
      <c r="U1859" s="2"/>
      <c r="V1859" s="2"/>
    </row>
    <row r="1860" spans="1:22" s="8" customFormat="1" ht="17.25" outlineLevel="1" thickBot="1" x14ac:dyDescent="0.3">
      <c r="A1860" s="1006" t="s">
        <v>628</v>
      </c>
      <c r="B1860" s="1007"/>
      <c r="C1860" s="691"/>
      <c r="D1860" s="480">
        <f>SUM(D1857:D1859)</f>
        <v>7525930.9199999999</v>
      </c>
      <c r="E1860" s="692"/>
      <c r="F1860" s="677"/>
      <c r="G1860" s="693">
        <f>SUM(G1857:G1859)</f>
        <v>3544313.54</v>
      </c>
      <c r="H1860" s="309"/>
      <c r="I1860" s="321"/>
      <c r="J1860" s="480">
        <f>SUM(J1857:J1859)</f>
        <v>7108127.5099999998</v>
      </c>
      <c r="K1860" s="480">
        <f>SUM(K1857:K1859)</f>
        <v>7108127.5099999998</v>
      </c>
      <c r="L1860" s="482"/>
      <c r="M1860" s="480"/>
      <c r="N1860" s="421">
        <f>AVERAGE(N1857:N1859)</f>
        <v>1</v>
      </c>
      <c r="O1860" s="694"/>
      <c r="P1860" s="176"/>
      <c r="Q1860" s="497"/>
      <c r="R1860" s="496"/>
      <c r="S1860" s="2"/>
      <c r="T1860" s="2"/>
      <c r="U1860" s="2"/>
      <c r="V1860" s="2"/>
    </row>
    <row r="1861" spans="1:22" s="6" customFormat="1" ht="33" x14ac:dyDescent="0.25">
      <c r="A1861" s="1069">
        <v>8</v>
      </c>
      <c r="B1861" s="1075" t="s">
        <v>607</v>
      </c>
      <c r="C1861" s="278" t="s">
        <v>500</v>
      </c>
      <c r="D1861" s="159">
        <v>3350986.42</v>
      </c>
      <c r="E1861" s="710" t="s">
        <v>843</v>
      </c>
      <c r="F1861" s="162" t="s">
        <v>816</v>
      </c>
      <c r="G1861" s="160">
        <v>3418445.84</v>
      </c>
      <c r="H1861" s="161">
        <v>42581</v>
      </c>
      <c r="I1861" s="161">
        <v>42535</v>
      </c>
      <c r="J1861" s="162">
        <v>3350986.42</v>
      </c>
      <c r="K1861" s="162">
        <v>3350986.42</v>
      </c>
      <c r="L1861" s="161"/>
      <c r="M1861" s="275">
        <f>J1861-D1861</f>
        <v>0</v>
      </c>
      <c r="N1861" s="200">
        <v>1</v>
      </c>
      <c r="O1861" s="718"/>
      <c r="P1861" s="176"/>
      <c r="Q1861" s="497"/>
      <c r="R1861" s="620"/>
      <c r="S1861" s="9"/>
      <c r="T1861" s="9"/>
      <c r="U1861" s="9"/>
      <c r="V1861" s="9"/>
    </row>
    <row r="1862" spans="1:22" s="8" customFormat="1" ht="33" outlineLevel="1" x14ac:dyDescent="0.25">
      <c r="A1862" s="1070"/>
      <c r="B1862" s="1076"/>
      <c r="C1862" s="342" t="s">
        <v>501</v>
      </c>
      <c r="D1862" s="339">
        <v>4870000</v>
      </c>
      <c r="E1862" s="702" t="s">
        <v>1170</v>
      </c>
      <c r="F1862" s="173" t="s">
        <v>862</v>
      </c>
      <c r="G1862" s="703">
        <v>4870000</v>
      </c>
      <c r="H1862" s="171">
        <v>42912</v>
      </c>
      <c r="I1862" s="172"/>
      <c r="J1862" s="173"/>
      <c r="K1862" s="173"/>
      <c r="L1862" s="171"/>
      <c r="M1862" s="173"/>
      <c r="N1862" s="460">
        <v>0</v>
      </c>
      <c r="O1862" s="704"/>
      <c r="P1862" s="176">
        <v>2017</v>
      </c>
      <c r="Q1862" s="497"/>
      <c r="R1862" s="496"/>
      <c r="S1862" s="2"/>
      <c r="T1862" s="2"/>
      <c r="U1862" s="2"/>
      <c r="V1862" s="2"/>
    </row>
    <row r="1863" spans="1:22" s="8" customFormat="1" ht="49.5" outlineLevel="1" x14ac:dyDescent="0.25">
      <c r="A1863" s="1070"/>
      <c r="B1863" s="1076"/>
      <c r="C1863" s="356" t="s">
        <v>37</v>
      </c>
      <c r="D1863" s="357">
        <v>110260.99</v>
      </c>
      <c r="E1863" s="690" t="s">
        <v>616</v>
      </c>
      <c r="F1863" s="361" t="s">
        <v>614</v>
      </c>
      <c r="G1863" s="359">
        <f>93441.52*1.18</f>
        <v>110260.9936</v>
      </c>
      <c r="H1863" s="360">
        <v>42420</v>
      </c>
      <c r="I1863" s="360">
        <v>42627</v>
      </c>
      <c r="J1863" s="361">
        <v>93441.52</v>
      </c>
      <c r="K1863" s="361">
        <v>93441.52</v>
      </c>
      <c r="L1863" s="360"/>
      <c r="M1863" s="361"/>
      <c r="N1863" s="362"/>
      <c r="O1863" s="466" t="s">
        <v>766</v>
      </c>
      <c r="P1863" s="176"/>
      <c r="Q1863" s="497"/>
      <c r="R1863" s="496"/>
      <c r="S1863" s="2"/>
      <c r="T1863" s="2"/>
      <c r="U1863" s="2"/>
      <c r="V1863" s="2"/>
    </row>
    <row r="1864" spans="1:22" s="8" customFormat="1" ht="17.25" outlineLevel="1" thickBot="1" x14ac:dyDescent="0.3">
      <c r="A1864" s="1006" t="s">
        <v>628</v>
      </c>
      <c r="B1864" s="1007"/>
      <c r="C1864" s="691"/>
      <c r="D1864" s="480">
        <f>SUM(D1861:D1863)</f>
        <v>8331247.4100000001</v>
      </c>
      <c r="E1864" s="692"/>
      <c r="F1864" s="677"/>
      <c r="G1864" s="693">
        <f>SUM(G1861:G1863)</f>
        <v>8398706.8335999995</v>
      </c>
      <c r="H1864" s="309"/>
      <c r="I1864" s="321"/>
      <c r="J1864" s="480">
        <f t="shared" ref="J1864" si="137">SUM(J1861:J1863)</f>
        <v>3444427.94</v>
      </c>
      <c r="K1864" s="480">
        <f>SUM(K1861:K1863)</f>
        <v>3444427.94</v>
      </c>
      <c r="L1864" s="482"/>
      <c r="M1864" s="480"/>
      <c r="N1864" s="421">
        <f>AVERAGE(N1861:N1863)</f>
        <v>0.5</v>
      </c>
      <c r="O1864" s="694"/>
      <c r="P1864" s="176"/>
      <c r="Q1864" s="497"/>
      <c r="R1864" s="496"/>
      <c r="S1864" s="2"/>
      <c r="T1864" s="2"/>
      <c r="U1864" s="2"/>
      <c r="V1864" s="2"/>
    </row>
    <row r="1865" spans="1:22" s="6" customFormat="1" ht="33" x14ac:dyDescent="0.25">
      <c r="A1865" s="1069">
        <v>9</v>
      </c>
      <c r="B1865" s="1091" t="s">
        <v>879</v>
      </c>
      <c r="C1865" s="278" t="s">
        <v>500</v>
      </c>
      <c r="D1865" s="159">
        <v>7686539.4800000004</v>
      </c>
      <c r="E1865" s="710" t="s">
        <v>870</v>
      </c>
      <c r="F1865" s="162" t="s">
        <v>806</v>
      </c>
      <c r="G1865" s="160">
        <v>8524768.4000000004</v>
      </c>
      <c r="H1865" s="161">
        <v>42595</v>
      </c>
      <c r="I1865" s="161">
        <v>42579</v>
      </c>
      <c r="J1865" s="162">
        <v>7686539.4800000004</v>
      </c>
      <c r="K1865" s="162">
        <v>7686539.4800000004</v>
      </c>
      <c r="L1865" s="198"/>
      <c r="M1865" s="199"/>
      <c r="N1865" s="200">
        <v>1</v>
      </c>
      <c r="O1865" s="699"/>
      <c r="P1865" s="176"/>
      <c r="Q1865" s="497"/>
      <c r="R1865" s="620"/>
      <c r="S1865" s="9"/>
      <c r="T1865" s="9"/>
      <c r="U1865" s="9"/>
      <c r="V1865" s="9"/>
    </row>
    <row r="1866" spans="1:22" s="8" customFormat="1" ht="49.5" outlineLevel="1" x14ac:dyDescent="0.25">
      <c r="A1866" s="1070"/>
      <c r="B1866" s="1092"/>
      <c r="C1866" s="356" t="s">
        <v>37</v>
      </c>
      <c r="D1866" s="357">
        <v>99486.67</v>
      </c>
      <c r="E1866" s="690" t="s">
        <v>619</v>
      </c>
      <c r="F1866" s="361" t="s">
        <v>614</v>
      </c>
      <c r="G1866" s="359">
        <f>84310.74*1.18</f>
        <v>99486.673200000005</v>
      </c>
      <c r="H1866" s="360">
        <v>42429</v>
      </c>
      <c r="I1866" s="360">
        <v>42495</v>
      </c>
      <c r="J1866" s="361">
        <v>99486.67</v>
      </c>
      <c r="K1866" s="361">
        <v>99486.67</v>
      </c>
      <c r="L1866" s="360"/>
      <c r="M1866" s="361"/>
      <c r="N1866" s="362"/>
      <c r="O1866" s="466" t="s">
        <v>903</v>
      </c>
      <c r="P1866" s="176"/>
      <c r="Q1866" s="497"/>
      <c r="R1866" s="496"/>
      <c r="S1866" s="2"/>
      <c r="T1866" s="2"/>
      <c r="U1866" s="2"/>
      <c r="V1866" s="2"/>
    </row>
    <row r="1867" spans="1:22" s="8" customFormat="1" ht="17.25" outlineLevel="1" thickBot="1" x14ac:dyDescent="0.3">
      <c r="A1867" s="1006" t="s">
        <v>628</v>
      </c>
      <c r="B1867" s="1007"/>
      <c r="C1867" s="691"/>
      <c r="D1867" s="480">
        <f>SUM(D1865:D1866)</f>
        <v>7786026.1500000004</v>
      </c>
      <c r="E1867" s="692"/>
      <c r="F1867" s="677"/>
      <c r="G1867" s="693">
        <f>SUM(G1865:G1866)</f>
        <v>8624255.0732000005</v>
      </c>
      <c r="H1867" s="309"/>
      <c r="I1867" s="321"/>
      <c r="J1867" s="480">
        <f>SUM(J1865:J1866)</f>
        <v>7786026.1500000004</v>
      </c>
      <c r="K1867" s="480">
        <f>SUM(K1865:K1866)</f>
        <v>7786026.1500000004</v>
      </c>
      <c r="L1867" s="482"/>
      <c r="M1867" s="480"/>
      <c r="N1867" s="421">
        <f>AVERAGE(N1865:N1866)</f>
        <v>1</v>
      </c>
      <c r="O1867" s="694"/>
      <c r="P1867" s="176"/>
      <c r="Q1867" s="497"/>
      <c r="R1867" s="496"/>
      <c r="S1867" s="2"/>
      <c r="T1867" s="2"/>
      <c r="U1867" s="2"/>
      <c r="V1867" s="2"/>
    </row>
    <row r="1868" spans="1:22" s="6" customFormat="1" ht="33" x14ac:dyDescent="0.25">
      <c r="A1868" s="1071">
        <v>10</v>
      </c>
      <c r="B1868" s="1073" t="s">
        <v>387</v>
      </c>
      <c r="C1868" s="278" t="s">
        <v>500</v>
      </c>
      <c r="D1868" s="159">
        <v>4677389.59</v>
      </c>
      <c r="E1868" s="710" t="s">
        <v>1047</v>
      </c>
      <c r="F1868" s="162" t="s">
        <v>663</v>
      </c>
      <c r="G1868" s="160">
        <v>4710475.3899999997</v>
      </c>
      <c r="H1868" s="161">
        <v>42653</v>
      </c>
      <c r="I1868" s="161">
        <v>42661</v>
      </c>
      <c r="J1868" s="162">
        <v>4677389.59</v>
      </c>
      <c r="K1868" s="162">
        <v>4677389.59</v>
      </c>
      <c r="L1868" s="161">
        <v>42698</v>
      </c>
      <c r="M1868" s="199"/>
      <c r="N1868" s="200">
        <v>1</v>
      </c>
      <c r="O1868" s="699"/>
      <c r="P1868" s="176"/>
      <c r="Q1868" s="497" t="s">
        <v>1114</v>
      </c>
      <c r="R1868" s="620"/>
      <c r="S1868" s="9"/>
      <c r="T1868" s="9"/>
      <c r="U1868" s="9"/>
      <c r="V1868" s="9"/>
    </row>
    <row r="1869" spans="1:22" s="8" customFormat="1" ht="49.5" outlineLevel="1" x14ac:dyDescent="0.25">
      <c r="A1869" s="1072"/>
      <c r="B1869" s="1074"/>
      <c r="C1869" s="356" t="s">
        <v>37</v>
      </c>
      <c r="D1869" s="357">
        <v>86087.53</v>
      </c>
      <c r="E1869" s="690" t="s">
        <v>619</v>
      </c>
      <c r="F1869" s="361" t="s">
        <v>614</v>
      </c>
      <c r="G1869" s="359">
        <f>72955.53*1.18</f>
        <v>86087.525399999999</v>
      </c>
      <c r="H1869" s="360">
        <v>42429</v>
      </c>
      <c r="I1869" s="360">
        <v>42495</v>
      </c>
      <c r="J1869" s="361">
        <v>86087.53</v>
      </c>
      <c r="K1869" s="361">
        <v>86087.53</v>
      </c>
      <c r="L1869" s="360"/>
      <c r="M1869" s="361"/>
      <c r="N1869" s="362"/>
      <c r="O1869" s="466" t="s">
        <v>734</v>
      </c>
      <c r="P1869" s="176"/>
      <c r="Q1869" s="497"/>
      <c r="R1869" s="496"/>
      <c r="S1869" s="2"/>
      <c r="T1869" s="2"/>
      <c r="U1869" s="2"/>
      <c r="V1869" s="2"/>
    </row>
    <row r="1870" spans="1:22" s="8" customFormat="1" ht="17.25" outlineLevel="1" thickBot="1" x14ac:dyDescent="0.3">
      <c r="A1870" s="1010" t="s">
        <v>628</v>
      </c>
      <c r="B1870" s="1011"/>
      <c r="C1870" s="607"/>
      <c r="D1870" s="480">
        <f>SUM(D1868:D1869)</f>
        <v>4763477.12</v>
      </c>
      <c r="E1870" s="705"/>
      <c r="F1870" s="310"/>
      <c r="G1870" s="693">
        <f>SUM(G1868:G1869)</f>
        <v>4796562.9153999994</v>
      </c>
      <c r="H1870" s="308"/>
      <c r="I1870" s="277"/>
      <c r="J1870" s="480">
        <f>SUM(J1868:J1869)</f>
        <v>4763477.12</v>
      </c>
      <c r="K1870" s="480">
        <f>SUM(K1868:K1869)</f>
        <v>4763477.12</v>
      </c>
      <c r="L1870" s="579"/>
      <c r="M1870" s="577"/>
      <c r="N1870" s="421">
        <f>AVERAGE(N1868:N1869)</f>
        <v>1</v>
      </c>
      <c r="O1870" s="707"/>
      <c r="P1870" s="176"/>
      <c r="Q1870" s="497"/>
      <c r="R1870" s="496"/>
      <c r="S1870" s="2"/>
      <c r="T1870" s="2"/>
      <c r="U1870" s="2"/>
      <c r="V1870" s="2"/>
    </row>
    <row r="1871" spans="1:22" s="6" customFormat="1" ht="33" x14ac:dyDescent="0.25">
      <c r="A1871" s="1071">
        <v>11</v>
      </c>
      <c r="B1871" s="1073" t="s">
        <v>388</v>
      </c>
      <c r="C1871" s="278" t="s">
        <v>500</v>
      </c>
      <c r="D1871" s="159">
        <v>3582954.8</v>
      </c>
      <c r="E1871" s="710" t="s">
        <v>1035</v>
      </c>
      <c r="F1871" s="162" t="s">
        <v>663</v>
      </c>
      <c r="G1871" s="160">
        <v>3826414.8</v>
      </c>
      <c r="H1871" s="161">
        <v>42663</v>
      </c>
      <c r="I1871" s="161">
        <v>42646</v>
      </c>
      <c r="J1871" s="162">
        <v>3582954.8</v>
      </c>
      <c r="K1871" s="162">
        <v>3582954.8</v>
      </c>
      <c r="L1871" s="198"/>
      <c r="M1871" s="199"/>
      <c r="N1871" s="200">
        <v>1</v>
      </c>
      <c r="O1871" s="699"/>
      <c r="P1871" s="176"/>
      <c r="Q1871" s="497"/>
      <c r="R1871" s="620"/>
      <c r="S1871" s="9"/>
      <c r="T1871" s="9"/>
      <c r="U1871" s="9"/>
      <c r="V1871" s="9"/>
    </row>
    <row r="1872" spans="1:22" s="8" customFormat="1" ht="49.5" outlineLevel="1" x14ac:dyDescent="0.25">
      <c r="A1872" s="1072"/>
      <c r="B1872" s="1074"/>
      <c r="C1872" s="356" t="s">
        <v>37</v>
      </c>
      <c r="D1872" s="357">
        <v>70674.929999999993</v>
      </c>
      <c r="E1872" s="690" t="s">
        <v>620</v>
      </c>
      <c r="F1872" s="361" t="s">
        <v>614</v>
      </c>
      <c r="G1872" s="359">
        <f>59894.01*1.18</f>
        <v>70674.931800000006</v>
      </c>
      <c r="H1872" s="360">
        <v>42429</v>
      </c>
      <c r="I1872" s="360">
        <v>42495</v>
      </c>
      <c r="J1872" s="361">
        <v>70674.929999999993</v>
      </c>
      <c r="K1872" s="361">
        <v>70674.929999999993</v>
      </c>
      <c r="L1872" s="360"/>
      <c r="M1872" s="361"/>
      <c r="N1872" s="362"/>
      <c r="O1872" s="466" t="s">
        <v>734</v>
      </c>
      <c r="P1872" s="176"/>
      <c r="Q1872" s="497"/>
      <c r="R1872" s="496"/>
      <c r="S1872" s="2"/>
      <c r="T1872" s="2"/>
      <c r="U1872" s="2"/>
      <c r="V1872" s="2"/>
    </row>
    <row r="1873" spans="1:22" s="8" customFormat="1" ht="17.25" outlineLevel="1" thickBot="1" x14ac:dyDescent="0.3">
      <c r="A1873" s="1006" t="s">
        <v>628</v>
      </c>
      <c r="B1873" s="1007"/>
      <c r="C1873" s="691"/>
      <c r="D1873" s="480">
        <f>SUM(D1871:D1872)</f>
        <v>3653629.73</v>
      </c>
      <c r="E1873" s="692"/>
      <c r="F1873" s="677"/>
      <c r="G1873" s="693">
        <f>SUM(G1871:G1872)</f>
        <v>3897089.7317999997</v>
      </c>
      <c r="H1873" s="309"/>
      <c r="I1873" s="321"/>
      <c r="J1873" s="480">
        <f>SUM(J1871:J1872)</f>
        <v>3653629.73</v>
      </c>
      <c r="K1873" s="480">
        <f>SUM(K1871:K1872)</f>
        <v>3653629.73</v>
      </c>
      <c r="L1873" s="482"/>
      <c r="M1873" s="480"/>
      <c r="N1873" s="421">
        <f>AVERAGE(N1871:N1872)</f>
        <v>1</v>
      </c>
      <c r="O1873" s="694"/>
      <c r="P1873" s="176"/>
      <c r="Q1873" s="497"/>
      <c r="R1873" s="496"/>
      <c r="S1873" s="2"/>
      <c r="T1873" s="2"/>
      <c r="U1873" s="2"/>
      <c r="V1873" s="2"/>
    </row>
    <row r="1874" spans="1:22" s="6" customFormat="1" ht="33" x14ac:dyDescent="0.25">
      <c r="A1874" s="1071">
        <v>12</v>
      </c>
      <c r="B1874" s="1073" t="s">
        <v>389</v>
      </c>
      <c r="C1874" s="278" t="s">
        <v>500</v>
      </c>
      <c r="D1874" s="159">
        <v>3369308.76</v>
      </c>
      <c r="E1874" s="710" t="s">
        <v>1047</v>
      </c>
      <c r="F1874" s="162" t="s">
        <v>663</v>
      </c>
      <c r="G1874" s="160">
        <v>3124271.55</v>
      </c>
      <c r="H1874" s="161">
        <v>42653</v>
      </c>
      <c r="I1874" s="161">
        <v>42653</v>
      </c>
      <c r="J1874" s="162">
        <v>3369308.76</v>
      </c>
      <c r="K1874" s="162">
        <v>3369308.76</v>
      </c>
      <c r="L1874" s="161">
        <v>42692</v>
      </c>
      <c r="M1874" s="199"/>
      <c r="N1874" s="200">
        <v>1</v>
      </c>
      <c r="O1874" s="699"/>
      <c r="P1874" s="176"/>
      <c r="Q1874" s="201" t="s">
        <v>1117</v>
      </c>
      <c r="R1874" s="620"/>
      <c r="S1874" s="9"/>
      <c r="T1874" s="9"/>
      <c r="U1874" s="9"/>
      <c r="V1874" s="9"/>
    </row>
    <row r="1875" spans="1:22" s="8" customFormat="1" ht="49.5" outlineLevel="1" x14ac:dyDescent="0.25">
      <c r="A1875" s="1072"/>
      <c r="B1875" s="1074"/>
      <c r="C1875" s="356" t="s">
        <v>37</v>
      </c>
      <c r="D1875" s="357">
        <v>79325.440000000002</v>
      </c>
      <c r="E1875" s="690" t="s">
        <v>620</v>
      </c>
      <c r="F1875" s="361" t="s">
        <v>614</v>
      </c>
      <c r="G1875" s="359">
        <f>67224.95*1.18</f>
        <v>79325.440999999992</v>
      </c>
      <c r="H1875" s="360">
        <v>42429</v>
      </c>
      <c r="I1875" s="360">
        <v>42495</v>
      </c>
      <c r="J1875" s="361">
        <v>79325.440000000002</v>
      </c>
      <c r="K1875" s="361">
        <v>79325.440000000002</v>
      </c>
      <c r="L1875" s="360"/>
      <c r="M1875" s="361"/>
      <c r="N1875" s="362"/>
      <c r="O1875" s="466" t="s">
        <v>734</v>
      </c>
      <c r="P1875" s="176"/>
      <c r="Q1875" s="497"/>
      <c r="R1875" s="496"/>
      <c r="S1875" s="2"/>
      <c r="T1875" s="2"/>
      <c r="U1875" s="2"/>
      <c r="V1875" s="2"/>
    </row>
    <row r="1876" spans="1:22" s="8" customFormat="1" ht="17.25" outlineLevel="1" thickBot="1" x14ac:dyDescent="0.3">
      <c r="A1876" s="1006" t="s">
        <v>628</v>
      </c>
      <c r="B1876" s="1007"/>
      <c r="C1876" s="691"/>
      <c r="D1876" s="480">
        <f>SUM(D1874:D1875)</f>
        <v>3448634.1999999997</v>
      </c>
      <c r="E1876" s="692"/>
      <c r="F1876" s="677"/>
      <c r="G1876" s="693">
        <f>SUM(G1874:G1875)</f>
        <v>3203596.9909999999</v>
      </c>
      <c r="H1876" s="309"/>
      <c r="I1876" s="321"/>
      <c r="J1876" s="480">
        <f>SUM(J1874:J1875)</f>
        <v>3448634.1999999997</v>
      </c>
      <c r="K1876" s="480">
        <f>SUM(K1874:K1875)</f>
        <v>3448634.1999999997</v>
      </c>
      <c r="L1876" s="482"/>
      <c r="M1876" s="480"/>
      <c r="N1876" s="421">
        <f>AVERAGE(N1874:N1875)</f>
        <v>1</v>
      </c>
      <c r="O1876" s="694"/>
      <c r="P1876" s="176"/>
      <c r="Q1876" s="497"/>
      <c r="R1876" s="496"/>
      <c r="S1876" s="2"/>
      <c r="T1876" s="2"/>
      <c r="U1876" s="2"/>
      <c r="V1876" s="2"/>
    </row>
    <row r="1877" spans="1:22" s="6" customFormat="1" ht="30" customHeight="1" x14ac:dyDescent="0.25">
      <c r="A1877" s="1071">
        <v>13</v>
      </c>
      <c r="B1877" s="1073" t="s">
        <v>390</v>
      </c>
      <c r="C1877" s="278" t="s">
        <v>500</v>
      </c>
      <c r="D1877" s="159">
        <v>5384253.1799999904</v>
      </c>
      <c r="E1877" s="710" t="s">
        <v>925</v>
      </c>
      <c r="F1877" s="162" t="s">
        <v>796</v>
      </c>
      <c r="G1877" s="160">
        <v>6200000</v>
      </c>
      <c r="H1877" s="161">
        <v>42607</v>
      </c>
      <c r="I1877" s="161">
        <v>42605</v>
      </c>
      <c r="J1877" s="162">
        <v>5384253.1799999997</v>
      </c>
      <c r="K1877" s="162">
        <v>5384253.1799999997</v>
      </c>
      <c r="L1877" s="161"/>
      <c r="M1877" s="162"/>
      <c r="N1877" s="200">
        <v>1</v>
      </c>
      <c r="O1877" s="699"/>
      <c r="P1877" s="176"/>
      <c r="Q1877" s="497"/>
      <c r="R1877" s="620"/>
      <c r="S1877" s="9"/>
      <c r="T1877" s="9"/>
      <c r="U1877" s="9"/>
      <c r="V1877" s="9"/>
    </row>
    <row r="1878" spans="1:22" s="8" customFormat="1" ht="49.5" outlineLevel="1" x14ac:dyDescent="0.25">
      <c r="A1878" s="1072"/>
      <c r="B1878" s="1074"/>
      <c r="C1878" s="356" t="s">
        <v>37</v>
      </c>
      <c r="D1878" s="357">
        <v>86550.9</v>
      </c>
      <c r="E1878" s="690" t="s">
        <v>620</v>
      </c>
      <c r="F1878" s="361" t="s">
        <v>614</v>
      </c>
      <c r="G1878" s="359">
        <f>73348.22*1.18</f>
        <v>86550.89959999999</v>
      </c>
      <c r="H1878" s="360">
        <v>42429</v>
      </c>
      <c r="I1878" s="360">
        <v>42495</v>
      </c>
      <c r="J1878" s="361">
        <v>86550.9</v>
      </c>
      <c r="K1878" s="361">
        <v>86550.9</v>
      </c>
      <c r="L1878" s="360"/>
      <c r="M1878" s="361"/>
      <c r="N1878" s="362"/>
      <c r="O1878" s="466" t="s">
        <v>734</v>
      </c>
      <c r="P1878" s="176"/>
      <c r="Q1878" s="497"/>
      <c r="R1878" s="496"/>
      <c r="S1878" s="2"/>
      <c r="T1878" s="2"/>
      <c r="U1878" s="2"/>
      <c r="V1878" s="2"/>
    </row>
    <row r="1879" spans="1:22" s="8" customFormat="1" ht="17.25" outlineLevel="1" thickBot="1" x14ac:dyDescent="0.3">
      <c r="A1879" s="1006" t="s">
        <v>628</v>
      </c>
      <c r="B1879" s="1007"/>
      <c r="C1879" s="691"/>
      <c r="D1879" s="480">
        <f>SUM(D1877:D1878)</f>
        <v>5470804.0799999908</v>
      </c>
      <c r="E1879" s="692"/>
      <c r="F1879" s="677"/>
      <c r="G1879" s="693">
        <f>SUM(G1877:G1878)</f>
        <v>6286550.8996000001</v>
      </c>
      <c r="H1879" s="309"/>
      <c r="I1879" s="321"/>
      <c r="J1879" s="480">
        <f>SUM(J1877:J1878)</f>
        <v>5470804.0800000001</v>
      </c>
      <c r="K1879" s="480">
        <f>SUM(K1877:K1878)</f>
        <v>5470804.0800000001</v>
      </c>
      <c r="L1879" s="482"/>
      <c r="M1879" s="480"/>
      <c r="N1879" s="421">
        <f>AVERAGE(N1877:N1878)</f>
        <v>1</v>
      </c>
      <c r="O1879" s="694"/>
      <c r="P1879" s="176"/>
      <c r="Q1879" s="497"/>
      <c r="R1879" s="496"/>
      <c r="S1879" s="2"/>
      <c r="T1879" s="2"/>
      <c r="U1879" s="2"/>
      <c r="V1879" s="2"/>
    </row>
    <row r="1880" spans="1:22" s="6" customFormat="1" ht="33" customHeight="1" x14ac:dyDescent="0.25">
      <c r="A1880" s="1071">
        <v>14</v>
      </c>
      <c r="B1880" s="1073" t="s">
        <v>391</v>
      </c>
      <c r="C1880" s="278" t="s">
        <v>500</v>
      </c>
      <c r="D1880" s="159">
        <v>3966474.28</v>
      </c>
      <c r="E1880" s="710" t="s">
        <v>1035</v>
      </c>
      <c r="F1880" s="162" t="s">
        <v>663</v>
      </c>
      <c r="G1880" s="160">
        <v>4746216.0199999996</v>
      </c>
      <c r="H1880" s="161">
        <v>42663</v>
      </c>
      <c r="I1880" s="161">
        <v>42619</v>
      </c>
      <c r="J1880" s="162">
        <v>3966474.28</v>
      </c>
      <c r="K1880" s="162">
        <v>3966474.28</v>
      </c>
      <c r="L1880" s="198"/>
      <c r="M1880" s="199"/>
      <c r="N1880" s="200">
        <v>1</v>
      </c>
      <c r="O1880" s="699"/>
      <c r="P1880" s="176"/>
      <c r="Q1880" s="497"/>
      <c r="R1880" s="620"/>
      <c r="S1880" s="9"/>
      <c r="T1880" s="9"/>
      <c r="U1880" s="9"/>
      <c r="V1880" s="9"/>
    </row>
    <row r="1881" spans="1:22" s="8" customFormat="1" ht="49.5" outlineLevel="1" x14ac:dyDescent="0.25">
      <c r="A1881" s="1072"/>
      <c r="B1881" s="1074"/>
      <c r="C1881" s="356" t="s">
        <v>37</v>
      </c>
      <c r="D1881" s="357">
        <v>86550.9</v>
      </c>
      <c r="E1881" s="690" t="s">
        <v>620</v>
      </c>
      <c r="F1881" s="361" t="s">
        <v>614</v>
      </c>
      <c r="G1881" s="359">
        <f>73348.22*1.18</f>
        <v>86550.89959999999</v>
      </c>
      <c r="H1881" s="360">
        <v>42429</v>
      </c>
      <c r="I1881" s="360">
        <v>42495</v>
      </c>
      <c r="J1881" s="361">
        <v>86550.9</v>
      </c>
      <c r="K1881" s="361">
        <v>86550.9</v>
      </c>
      <c r="L1881" s="360"/>
      <c r="M1881" s="361"/>
      <c r="N1881" s="362"/>
      <c r="O1881" s="466" t="s">
        <v>734</v>
      </c>
      <c r="P1881" s="176"/>
      <c r="Q1881" s="497"/>
      <c r="R1881" s="496"/>
      <c r="S1881" s="2"/>
      <c r="T1881" s="2"/>
      <c r="U1881" s="2"/>
      <c r="V1881" s="2"/>
    </row>
    <row r="1882" spans="1:22" s="8" customFormat="1" ht="17.25" outlineLevel="1" thickBot="1" x14ac:dyDescent="0.3">
      <c r="A1882" s="1006" t="s">
        <v>628</v>
      </c>
      <c r="B1882" s="1007"/>
      <c r="C1882" s="691"/>
      <c r="D1882" s="480">
        <f>SUM(D1880:D1881)</f>
        <v>4053025.1799999997</v>
      </c>
      <c r="E1882" s="692"/>
      <c r="F1882" s="677"/>
      <c r="G1882" s="693">
        <f>SUM(G1880:G1881)</f>
        <v>4832766.9195999997</v>
      </c>
      <c r="H1882" s="309"/>
      <c r="I1882" s="321"/>
      <c r="J1882" s="480">
        <f>SUM(J1880:J1881)</f>
        <v>4053025.1799999997</v>
      </c>
      <c r="K1882" s="480">
        <f>SUM(K1880:K1881)</f>
        <v>4053025.1799999997</v>
      </c>
      <c r="L1882" s="482"/>
      <c r="M1882" s="480"/>
      <c r="N1882" s="421">
        <f>AVERAGE(N1880:N1881)</f>
        <v>1</v>
      </c>
      <c r="O1882" s="694"/>
      <c r="P1882" s="176"/>
      <c r="Q1882" s="497"/>
      <c r="R1882" s="496"/>
      <c r="S1882" s="2"/>
      <c r="T1882" s="2"/>
      <c r="U1882" s="2"/>
      <c r="V1882" s="2"/>
    </row>
    <row r="1883" spans="1:22" s="6" customFormat="1" ht="31.5" customHeight="1" x14ac:dyDescent="0.25">
      <c r="A1883" s="1071">
        <v>15</v>
      </c>
      <c r="B1883" s="1073" t="s">
        <v>392</v>
      </c>
      <c r="C1883" s="278" t="s">
        <v>500</v>
      </c>
      <c r="D1883" s="159">
        <v>9690573.9700000007</v>
      </c>
      <c r="E1883" s="710" t="s">
        <v>1035</v>
      </c>
      <c r="F1883" s="162" t="s">
        <v>663</v>
      </c>
      <c r="G1883" s="160">
        <v>9690573.9700000007</v>
      </c>
      <c r="H1883" s="161">
        <v>42663</v>
      </c>
      <c r="I1883" s="161">
        <v>42672</v>
      </c>
      <c r="J1883" s="162">
        <v>9216935.5600000005</v>
      </c>
      <c r="K1883" s="162">
        <v>9216935.5600000005</v>
      </c>
      <c r="L1883" s="161">
        <v>42703</v>
      </c>
      <c r="M1883" s="199"/>
      <c r="N1883" s="200">
        <v>1</v>
      </c>
      <c r="O1883" s="699"/>
      <c r="P1883" s="176"/>
      <c r="Q1883" s="201" t="s">
        <v>1114</v>
      </c>
      <c r="R1883" s="620"/>
      <c r="S1883" s="9"/>
      <c r="T1883" s="9"/>
      <c r="U1883" s="9"/>
      <c r="V1883" s="9"/>
    </row>
    <row r="1884" spans="1:22" s="8" customFormat="1" ht="49.5" outlineLevel="1" x14ac:dyDescent="0.25">
      <c r="A1884" s="1072"/>
      <c r="B1884" s="1074"/>
      <c r="C1884" s="356" t="s">
        <v>37</v>
      </c>
      <c r="D1884" s="357">
        <v>100266.63</v>
      </c>
      <c r="E1884" s="690" t="s">
        <v>620</v>
      </c>
      <c r="F1884" s="361" t="s">
        <v>614</v>
      </c>
      <c r="G1884" s="359">
        <f>84971.72*1.18</f>
        <v>100266.6296</v>
      </c>
      <c r="H1884" s="360">
        <v>42429</v>
      </c>
      <c r="I1884" s="360">
        <v>42495</v>
      </c>
      <c r="J1884" s="361">
        <v>100266.63</v>
      </c>
      <c r="K1884" s="361">
        <v>100266.63</v>
      </c>
      <c r="L1884" s="360"/>
      <c r="M1884" s="361"/>
      <c r="N1884" s="362"/>
      <c r="O1884" s="466" t="s">
        <v>734</v>
      </c>
      <c r="P1884" s="176"/>
      <c r="Q1884" s="497"/>
      <c r="R1884" s="496"/>
      <c r="S1884" s="2"/>
      <c r="T1884" s="2"/>
      <c r="U1884" s="2"/>
      <c r="V1884" s="2"/>
    </row>
    <row r="1885" spans="1:22" s="11" customFormat="1" ht="33" outlineLevel="1" x14ac:dyDescent="0.25">
      <c r="A1885" s="1082"/>
      <c r="B1885" s="1088"/>
      <c r="C1885" s="286" t="s">
        <v>1095</v>
      </c>
      <c r="D1885" s="246">
        <v>73570.391890789499</v>
      </c>
      <c r="E1885" s="705"/>
      <c r="F1885" s="310"/>
      <c r="G1885" s="708"/>
      <c r="H1885" s="308"/>
      <c r="I1885" s="308"/>
      <c r="J1885" s="310"/>
      <c r="K1885" s="310"/>
      <c r="L1885" s="308"/>
      <c r="M1885" s="310"/>
      <c r="N1885" s="709"/>
      <c r="O1885" s="287"/>
      <c r="P1885" s="176"/>
      <c r="Q1885" s="446"/>
      <c r="R1885" s="335"/>
      <c r="S1885" s="2"/>
      <c r="T1885" s="2"/>
      <c r="U1885" s="2"/>
      <c r="V1885" s="2"/>
    </row>
    <row r="1886" spans="1:22" s="8" customFormat="1" ht="17.25" outlineLevel="1" thickBot="1" x14ac:dyDescent="0.3">
      <c r="A1886" s="1006" t="s">
        <v>628</v>
      </c>
      <c r="B1886" s="1007"/>
      <c r="C1886" s="691"/>
      <c r="D1886" s="480">
        <f>SUM(D1883:D1885)</f>
        <v>9864410.9918907918</v>
      </c>
      <c r="E1886" s="692"/>
      <c r="F1886" s="677"/>
      <c r="G1886" s="693">
        <f>SUM(G1883:G1884)</f>
        <v>9790840.5996000003</v>
      </c>
      <c r="H1886" s="309"/>
      <c r="I1886" s="321"/>
      <c r="J1886" s="480">
        <f>SUM(J1883:J1884)</f>
        <v>9317202.1900000013</v>
      </c>
      <c r="K1886" s="480">
        <f>SUM(K1883:K1884)</f>
        <v>9317202.1900000013</v>
      </c>
      <c r="L1886" s="482"/>
      <c r="M1886" s="480"/>
      <c r="N1886" s="421">
        <f>AVERAGE(N1883:N1884)</f>
        <v>1</v>
      </c>
      <c r="O1886" s="694"/>
      <c r="P1886" s="176"/>
      <c r="Q1886" s="497"/>
      <c r="R1886" s="496"/>
      <c r="S1886" s="2"/>
      <c r="T1886" s="2"/>
      <c r="U1886" s="2"/>
      <c r="V1886" s="2"/>
    </row>
    <row r="1887" spans="1:22" s="6" customFormat="1" ht="33" x14ac:dyDescent="0.25">
      <c r="A1887" s="1071">
        <v>16</v>
      </c>
      <c r="B1887" s="1073" t="s">
        <v>608</v>
      </c>
      <c r="C1887" s="278" t="s">
        <v>501</v>
      </c>
      <c r="D1887" s="159">
        <v>8100000</v>
      </c>
      <c r="E1887" s="710" t="s">
        <v>975</v>
      </c>
      <c r="F1887" s="162" t="s">
        <v>847</v>
      </c>
      <c r="G1887" s="160">
        <v>7103000</v>
      </c>
      <c r="H1887" s="161">
        <v>42668</v>
      </c>
      <c r="I1887" s="161">
        <v>42668</v>
      </c>
      <c r="J1887" s="162">
        <v>6234786.4199999999</v>
      </c>
      <c r="K1887" s="162">
        <v>6234786.4199999999</v>
      </c>
      <c r="L1887" s="161">
        <v>42697</v>
      </c>
      <c r="M1887" s="199"/>
      <c r="N1887" s="200">
        <v>1</v>
      </c>
      <c r="O1887" s="699"/>
      <c r="P1887" s="176"/>
      <c r="Q1887" s="201" t="s">
        <v>1114</v>
      </c>
      <c r="R1887" s="620"/>
      <c r="S1887" s="9"/>
      <c r="T1887" s="9"/>
      <c r="U1887" s="9"/>
      <c r="V1887" s="9"/>
    </row>
    <row r="1888" spans="1:22" s="8" customFormat="1" ht="49.5" outlineLevel="1" x14ac:dyDescent="0.25">
      <c r="A1888" s="1072"/>
      <c r="B1888" s="1074"/>
      <c r="C1888" s="356" t="s">
        <v>37</v>
      </c>
      <c r="D1888" s="357">
        <v>101923.43</v>
      </c>
      <c r="E1888" s="690" t="s">
        <v>616</v>
      </c>
      <c r="F1888" s="361" t="s">
        <v>614</v>
      </c>
      <c r="G1888" s="359">
        <f>86375.79*1.18</f>
        <v>101923.43219999998</v>
      </c>
      <c r="H1888" s="360">
        <v>42420</v>
      </c>
      <c r="I1888" s="360">
        <v>42570</v>
      </c>
      <c r="J1888" s="361">
        <v>86375.79</v>
      </c>
      <c r="K1888" s="361">
        <v>86375.79</v>
      </c>
      <c r="L1888" s="360"/>
      <c r="M1888" s="361"/>
      <c r="N1888" s="362"/>
      <c r="O1888" s="466" t="s">
        <v>766</v>
      </c>
      <c r="P1888" s="176"/>
      <c r="Q1888" s="201"/>
      <c r="R1888" s="496"/>
      <c r="S1888" s="2"/>
      <c r="T1888" s="2"/>
      <c r="U1888" s="2"/>
      <c r="V1888" s="2"/>
    </row>
    <row r="1889" spans="1:22" s="11" customFormat="1" ht="33" outlineLevel="1" x14ac:dyDescent="0.25">
      <c r="A1889" s="1082"/>
      <c r="B1889" s="1088"/>
      <c r="C1889" s="286" t="s">
        <v>1095</v>
      </c>
      <c r="D1889" s="246">
        <v>29762.71891191</v>
      </c>
      <c r="E1889" s="705"/>
      <c r="F1889" s="310"/>
      <c r="G1889" s="708"/>
      <c r="H1889" s="308"/>
      <c r="I1889" s="308"/>
      <c r="J1889" s="310"/>
      <c r="K1889" s="310"/>
      <c r="L1889" s="308"/>
      <c r="M1889" s="310"/>
      <c r="N1889" s="709"/>
      <c r="O1889" s="287"/>
      <c r="P1889" s="176"/>
      <c r="Q1889" s="446"/>
      <c r="R1889" s="335"/>
      <c r="S1889" s="2"/>
      <c r="T1889" s="2"/>
      <c r="U1889" s="2"/>
      <c r="V1889" s="2"/>
    </row>
    <row r="1890" spans="1:22" s="8" customFormat="1" ht="17.25" outlineLevel="1" thickBot="1" x14ac:dyDescent="0.3">
      <c r="A1890" s="1010" t="s">
        <v>628</v>
      </c>
      <c r="B1890" s="1011"/>
      <c r="C1890" s="607"/>
      <c r="D1890" s="480">
        <f>SUM(D1887:D1889)</f>
        <v>8231686.1489119101</v>
      </c>
      <c r="E1890" s="705"/>
      <c r="F1890" s="310"/>
      <c r="G1890" s="693">
        <f>SUM(G1887:G1888)</f>
        <v>7204923.4321999997</v>
      </c>
      <c r="H1890" s="308"/>
      <c r="I1890" s="277"/>
      <c r="J1890" s="480">
        <f>SUM(J1887:J1888)</f>
        <v>6321162.21</v>
      </c>
      <c r="K1890" s="480">
        <f>SUM(K1887:K1888)</f>
        <v>6321162.21</v>
      </c>
      <c r="L1890" s="579"/>
      <c r="M1890" s="577"/>
      <c r="N1890" s="421">
        <f>AVERAGE(N1887:N1888)</f>
        <v>1</v>
      </c>
      <c r="O1890" s="707"/>
      <c r="P1890" s="176"/>
      <c r="Q1890" s="497"/>
      <c r="R1890" s="496"/>
      <c r="S1890" s="2"/>
      <c r="T1890" s="2"/>
      <c r="U1890" s="2"/>
      <c r="V1890" s="2"/>
    </row>
    <row r="1891" spans="1:22" s="6" customFormat="1" ht="31.5" customHeight="1" x14ac:dyDescent="0.25">
      <c r="A1891" s="1069">
        <v>17</v>
      </c>
      <c r="B1891" s="1080" t="s">
        <v>393</v>
      </c>
      <c r="C1891" s="278" t="s">
        <v>500</v>
      </c>
      <c r="D1891" s="159">
        <v>2685316.23</v>
      </c>
      <c r="E1891" s="710" t="s">
        <v>1151</v>
      </c>
      <c r="F1891" s="162" t="s">
        <v>951</v>
      </c>
      <c r="G1891" s="160">
        <v>2685654.72</v>
      </c>
      <c r="H1891" s="161">
        <v>42681</v>
      </c>
      <c r="I1891" s="161">
        <v>42681</v>
      </c>
      <c r="J1891" s="162">
        <v>2685316.23</v>
      </c>
      <c r="K1891" s="162">
        <v>2685316.23</v>
      </c>
      <c r="L1891" s="161">
        <v>42695</v>
      </c>
      <c r="M1891" s="199"/>
      <c r="N1891" s="200">
        <v>1</v>
      </c>
      <c r="O1891" s="699"/>
      <c r="P1891" s="176"/>
      <c r="Q1891" s="497"/>
      <c r="R1891" s="620"/>
      <c r="S1891" s="9"/>
      <c r="T1891" s="9"/>
      <c r="U1891" s="9"/>
      <c r="V1891" s="9"/>
    </row>
    <row r="1892" spans="1:22" s="8" customFormat="1" ht="49.5" outlineLevel="1" x14ac:dyDescent="0.25">
      <c r="A1892" s="1070"/>
      <c r="B1892" s="1064"/>
      <c r="C1892" s="356" t="s">
        <v>37</v>
      </c>
      <c r="D1892" s="357">
        <v>73015.199999999997</v>
      </c>
      <c r="E1892" s="690" t="s">
        <v>620</v>
      </c>
      <c r="F1892" s="361" t="s">
        <v>614</v>
      </c>
      <c r="G1892" s="359">
        <f>61877.29*1.18</f>
        <v>73015.2022</v>
      </c>
      <c r="H1892" s="360">
        <v>42429</v>
      </c>
      <c r="I1892" s="360">
        <v>42495</v>
      </c>
      <c r="J1892" s="361">
        <v>73015.199999999997</v>
      </c>
      <c r="K1892" s="361">
        <v>73015.199999999997</v>
      </c>
      <c r="L1892" s="360"/>
      <c r="M1892" s="361"/>
      <c r="N1892" s="362"/>
      <c r="O1892" s="466" t="s">
        <v>734</v>
      </c>
      <c r="P1892" s="176"/>
      <c r="Q1892" s="497"/>
      <c r="R1892" s="496"/>
      <c r="S1892" s="2"/>
      <c r="T1892" s="2"/>
      <c r="U1892" s="2"/>
      <c r="V1892" s="2"/>
    </row>
    <row r="1893" spans="1:22" s="8" customFormat="1" ht="17.25" outlineLevel="1" thickBot="1" x14ac:dyDescent="0.3">
      <c r="A1893" s="1006" t="s">
        <v>628</v>
      </c>
      <c r="B1893" s="1007"/>
      <c r="C1893" s="691"/>
      <c r="D1893" s="480">
        <f>SUM(D1891:D1892)</f>
        <v>2758331.43</v>
      </c>
      <c r="E1893" s="692"/>
      <c r="F1893" s="677"/>
      <c r="G1893" s="693">
        <f>SUM(G1891:G1892)</f>
        <v>2758669.9222000004</v>
      </c>
      <c r="H1893" s="309"/>
      <c r="I1893" s="321"/>
      <c r="J1893" s="480">
        <f>SUM(J1891:J1892)</f>
        <v>2758331.43</v>
      </c>
      <c r="K1893" s="480">
        <f>SUM(K1891:K1892)</f>
        <v>2758331.43</v>
      </c>
      <c r="L1893" s="482"/>
      <c r="M1893" s="480"/>
      <c r="N1893" s="421">
        <f>AVERAGE(N1891:N1892)</f>
        <v>1</v>
      </c>
      <c r="O1893" s="694"/>
      <c r="P1893" s="176"/>
      <c r="Q1893" s="497"/>
      <c r="R1893" s="496"/>
      <c r="S1893" s="2"/>
      <c r="T1893" s="2"/>
      <c r="U1893" s="2"/>
      <c r="V1893" s="2"/>
    </row>
    <row r="1894" spans="1:22" s="6" customFormat="1" ht="37.5" customHeight="1" x14ac:dyDescent="0.25">
      <c r="A1894" s="1071">
        <v>18</v>
      </c>
      <c r="B1894" s="1089" t="s">
        <v>394</v>
      </c>
      <c r="C1894" s="159" t="s">
        <v>38</v>
      </c>
      <c r="D1894" s="208">
        <v>1672139.36</v>
      </c>
      <c r="E1894" s="911" t="s">
        <v>1042</v>
      </c>
      <c r="F1894" s="487" t="s">
        <v>763</v>
      </c>
      <c r="G1894" s="160">
        <v>1712270</v>
      </c>
      <c r="H1894" s="161">
        <v>42633</v>
      </c>
      <c r="I1894" s="161">
        <v>42622</v>
      </c>
      <c r="J1894" s="162">
        <v>1672139.36</v>
      </c>
      <c r="K1894" s="162">
        <v>1672139.36</v>
      </c>
      <c r="L1894" s="161">
        <v>42705</v>
      </c>
      <c r="M1894" s="199"/>
      <c r="N1894" s="200">
        <v>1</v>
      </c>
      <c r="O1894" s="233"/>
      <c r="P1894" s="176"/>
      <c r="Q1894" s="1160" t="s">
        <v>1118</v>
      </c>
      <c r="R1894" s="620"/>
      <c r="S1894" s="9"/>
      <c r="T1894" s="9"/>
      <c r="U1894" s="9"/>
      <c r="V1894" s="9"/>
    </row>
    <row r="1895" spans="1:22" s="8" customFormat="1" ht="33" outlineLevel="1" x14ac:dyDescent="0.25">
      <c r="A1895" s="1072"/>
      <c r="B1895" s="1090"/>
      <c r="C1895" s="208" t="s">
        <v>34</v>
      </c>
      <c r="D1895" s="208">
        <v>2930646.22</v>
      </c>
      <c r="E1895" s="910" t="s">
        <v>1042</v>
      </c>
      <c r="F1895" s="163" t="s">
        <v>763</v>
      </c>
      <c r="G1895" s="519">
        <v>2940706.32</v>
      </c>
      <c r="H1895" s="210">
        <v>42622</v>
      </c>
      <c r="I1895" s="257">
        <v>42622</v>
      </c>
      <c r="J1895" s="163">
        <v>2930646.22</v>
      </c>
      <c r="K1895" s="163">
        <v>2930646.22</v>
      </c>
      <c r="L1895" s="210">
        <v>42705</v>
      </c>
      <c r="M1895" s="163"/>
      <c r="N1895" s="213">
        <v>1</v>
      </c>
      <c r="O1895" s="491"/>
      <c r="P1895" s="176"/>
      <c r="Q1895" s="1161"/>
      <c r="R1895" s="496"/>
      <c r="S1895" s="2"/>
      <c r="T1895" s="2"/>
      <c r="U1895" s="2"/>
      <c r="V1895" s="2"/>
    </row>
    <row r="1896" spans="1:22" s="8" customFormat="1" ht="33" outlineLevel="1" x14ac:dyDescent="0.25">
      <c r="A1896" s="1072"/>
      <c r="B1896" s="1090"/>
      <c r="C1896" s="208" t="s">
        <v>35</v>
      </c>
      <c r="D1896" s="208">
        <v>542923.46</v>
      </c>
      <c r="E1896" s="910" t="s">
        <v>1042</v>
      </c>
      <c r="F1896" s="498" t="s">
        <v>763</v>
      </c>
      <c r="G1896" s="209">
        <v>739869</v>
      </c>
      <c r="H1896" s="210">
        <v>42633</v>
      </c>
      <c r="I1896" s="430">
        <v>42622</v>
      </c>
      <c r="J1896" s="163">
        <v>542923.46</v>
      </c>
      <c r="K1896" s="163">
        <v>542923.46</v>
      </c>
      <c r="L1896" s="212">
        <v>42705</v>
      </c>
      <c r="M1896" s="163"/>
      <c r="N1896" s="213">
        <v>1</v>
      </c>
      <c r="O1896" s="505"/>
      <c r="P1896" s="176"/>
      <c r="Q1896" s="1161"/>
      <c r="R1896" s="496"/>
      <c r="S1896" s="2"/>
      <c r="T1896" s="2"/>
      <c r="U1896" s="2"/>
      <c r="V1896" s="2"/>
    </row>
    <row r="1897" spans="1:22" s="8" customFormat="1" ht="33" outlineLevel="1" x14ac:dyDescent="0.25">
      <c r="A1897" s="1072"/>
      <c r="B1897" s="1090"/>
      <c r="C1897" s="208" t="s">
        <v>36</v>
      </c>
      <c r="D1897" s="912">
        <v>662105.02</v>
      </c>
      <c r="E1897" s="700" t="s">
        <v>1197</v>
      </c>
      <c r="F1897" s="163" t="s">
        <v>763</v>
      </c>
      <c r="G1897" s="209">
        <v>685700</v>
      </c>
      <c r="H1897" s="210">
        <v>42704</v>
      </c>
      <c r="I1897" s="210">
        <v>42664</v>
      </c>
      <c r="J1897" s="163">
        <v>662105.02</v>
      </c>
      <c r="K1897" s="163">
        <v>662105.02</v>
      </c>
      <c r="L1897" s="210">
        <v>42695</v>
      </c>
      <c r="M1897" s="163"/>
      <c r="N1897" s="213">
        <v>1</v>
      </c>
      <c r="O1897" s="505"/>
      <c r="P1897" s="176"/>
      <c r="Q1897" s="1162"/>
      <c r="R1897" s="496"/>
      <c r="S1897" s="2"/>
      <c r="T1897" s="2"/>
      <c r="U1897" s="2"/>
      <c r="V1897" s="2"/>
    </row>
    <row r="1898" spans="1:22" s="8" customFormat="1" ht="49.5" outlineLevel="1" x14ac:dyDescent="0.25">
      <c r="A1898" s="1072"/>
      <c r="B1898" s="1090"/>
      <c r="C1898" s="356" t="s">
        <v>37</v>
      </c>
      <c r="D1898" s="357">
        <v>239388.21</v>
      </c>
      <c r="E1898" s="690" t="s">
        <v>621</v>
      </c>
      <c r="F1898" s="361" t="s">
        <v>614</v>
      </c>
      <c r="G1898" s="359">
        <f>202871.38*1.18</f>
        <v>239388.22839999999</v>
      </c>
      <c r="H1898" s="360">
        <v>42384</v>
      </c>
      <c r="I1898" s="360">
        <v>42571</v>
      </c>
      <c r="J1898" s="361">
        <v>152153.54</v>
      </c>
      <c r="K1898" s="361">
        <v>152153.53999999998</v>
      </c>
      <c r="L1898" s="360">
        <v>42732</v>
      </c>
      <c r="M1898" s="361"/>
      <c r="N1898" s="362"/>
      <c r="O1898" s="466" t="s">
        <v>684</v>
      </c>
      <c r="P1898" s="176"/>
      <c r="Q1898" s="497"/>
      <c r="R1898" s="496"/>
      <c r="S1898" s="2"/>
      <c r="T1898" s="2"/>
      <c r="U1898" s="2"/>
      <c r="V1898" s="2"/>
    </row>
    <row r="1899" spans="1:22" s="8" customFormat="1" ht="17.25" outlineLevel="1" thickBot="1" x14ac:dyDescent="0.3">
      <c r="A1899" s="1006" t="s">
        <v>628</v>
      </c>
      <c r="B1899" s="1007"/>
      <c r="C1899" s="481"/>
      <c r="D1899" s="480">
        <f>SUM(D1894:D1898)</f>
        <v>6047202.2700000005</v>
      </c>
      <c r="E1899" s="692"/>
      <c r="F1899" s="677"/>
      <c r="G1899" s="693">
        <f>SUM(G1894:G1898)</f>
        <v>6317933.5484000007</v>
      </c>
      <c r="H1899" s="309"/>
      <c r="I1899" s="321"/>
      <c r="J1899" s="480">
        <f>SUM(J1894:J1898)</f>
        <v>5959967.6000000006</v>
      </c>
      <c r="K1899" s="480">
        <f>SUM(K1894:K1898)</f>
        <v>5959967.6000000006</v>
      </c>
      <c r="L1899" s="482"/>
      <c r="M1899" s="480"/>
      <c r="N1899" s="421">
        <f>AVERAGE(N1894:N1898)</f>
        <v>1</v>
      </c>
      <c r="O1899" s="713"/>
      <c r="P1899" s="176"/>
      <c r="Q1899" s="497"/>
      <c r="R1899" s="496"/>
      <c r="S1899" s="2"/>
      <c r="T1899" s="2"/>
      <c r="U1899" s="2"/>
      <c r="V1899" s="2"/>
    </row>
    <row r="1900" spans="1:22" s="6" customFormat="1" ht="33" x14ac:dyDescent="0.25">
      <c r="A1900" s="1071">
        <v>19</v>
      </c>
      <c r="B1900" s="1073" t="s">
        <v>395</v>
      </c>
      <c r="C1900" s="278" t="s">
        <v>500</v>
      </c>
      <c r="D1900" s="159">
        <v>8494709.0700000003</v>
      </c>
      <c r="E1900" s="710" t="s">
        <v>1035</v>
      </c>
      <c r="F1900" s="162" t="s">
        <v>663</v>
      </c>
      <c r="G1900" s="160">
        <v>8781444.9900000002</v>
      </c>
      <c r="H1900" s="161">
        <v>42663</v>
      </c>
      <c r="I1900" s="161">
        <v>42661</v>
      </c>
      <c r="J1900" s="162">
        <v>8494709.0700000003</v>
      </c>
      <c r="K1900" s="162">
        <v>8494709.0700000003</v>
      </c>
      <c r="L1900" s="161">
        <v>42695</v>
      </c>
      <c r="M1900" s="199"/>
      <c r="N1900" s="200">
        <v>1</v>
      </c>
      <c r="O1900" s="699"/>
      <c r="P1900" s="176"/>
      <c r="Q1900" s="530" t="s">
        <v>1119</v>
      </c>
      <c r="R1900" s="620"/>
      <c r="S1900" s="9"/>
      <c r="T1900" s="9"/>
      <c r="U1900" s="9"/>
      <c r="V1900" s="9"/>
    </row>
    <row r="1901" spans="1:22" s="8" customFormat="1" ht="49.5" x14ac:dyDescent="0.25">
      <c r="A1901" s="1072"/>
      <c r="B1901" s="1074"/>
      <c r="C1901" s="356" t="s">
        <v>37</v>
      </c>
      <c r="D1901" s="357">
        <v>87050.05</v>
      </c>
      <c r="E1901" s="690" t="s">
        <v>620</v>
      </c>
      <c r="F1901" s="361" t="s">
        <v>614</v>
      </c>
      <c r="G1901" s="359">
        <f>73771.23*1.18</f>
        <v>87050.051399999997</v>
      </c>
      <c r="H1901" s="360">
        <v>42429</v>
      </c>
      <c r="I1901" s="360">
        <v>42495</v>
      </c>
      <c r="J1901" s="361">
        <v>87050.05</v>
      </c>
      <c r="K1901" s="361">
        <v>87050.05</v>
      </c>
      <c r="L1901" s="360"/>
      <c r="M1901" s="361"/>
      <c r="N1901" s="362"/>
      <c r="O1901" s="466" t="s">
        <v>734</v>
      </c>
      <c r="P1901" s="176"/>
      <c r="Q1901" s="280"/>
      <c r="R1901" s="496"/>
      <c r="S1901" s="2"/>
      <c r="T1901" s="2"/>
      <c r="U1901" s="2"/>
      <c r="V1901" s="2"/>
    </row>
    <row r="1902" spans="1:22" s="8" customFormat="1" ht="17.25" thickBot="1" x14ac:dyDescent="0.3">
      <c r="A1902" s="1010" t="s">
        <v>628</v>
      </c>
      <c r="B1902" s="1011"/>
      <c r="C1902" s="607"/>
      <c r="D1902" s="577">
        <f>SUM(D1900:D1901)</f>
        <v>8581759.120000001</v>
      </c>
      <c r="E1902" s="705"/>
      <c r="F1902" s="310"/>
      <c r="G1902" s="706">
        <f>SUM(G1900:G1901)</f>
        <v>8868495.0414000005</v>
      </c>
      <c r="H1902" s="308"/>
      <c r="I1902" s="277"/>
      <c r="J1902" s="577">
        <f>SUM(J1900:J1901)</f>
        <v>8581759.120000001</v>
      </c>
      <c r="K1902" s="577">
        <f>SUM(K1900:K1901)</f>
        <v>8581759.120000001</v>
      </c>
      <c r="L1902" s="579"/>
      <c r="M1902" s="577"/>
      <c r="N1902" s="421">
        <f>AVERAGE(N1900:N1901)</f>
        <v>1</v>
      </c>
      <c r="O1902" s="694"/>
      <c r="P1902" s="176"/>
      <c r="Q1902" s="280"/>
      <c r="R1902" s="496"/>
      <c r="S1902" s="2"/>
      <c r="T1902" s="2"/>
      <c r="U1902" s="2"/>
      <c r="V1902" s="2"/>
    </row>
    <row r="1903" spans="1:22" s="6" customFormat="1" ht="33" x14ac:dyDescent="0.25">
      <c r="A1903" s="1065">
        <v>20</v>
      </c>
      <c r="B1903" s="1064" t="s">
        <v>396</v>
      </c>
      <c r="C1903" s="281" t="s">
        <v>500</v>
      </c>
      <c r="D1903" s="208">
        <v>3854903.94</v>
      </c>
      <c r="E1903" s="910" t="s">
        <v>1035</v>
      </c>
      <c r="F1903" s="163" t="s">
        <v>663</v>
      </c>
      <c r="G1903" s="208">
        <v>3854903.94</v>
      </c>
      <c r="H1903" s="210">
        <v>42663</v>
      </c>
      <c r="I1903" s="210">
        <v>42672</v>
      </c>
      <c r="J1903" s="163">
        <v>3354139.77</v>
      </c>
      <c r="K1903" s="163">
        <v>3354139.77</v>
      </c>
      <c r="L1903" s="210">
        <v>42703</v>
      </c>
      <c r="M1903" s="255"/>
      <c r="N1903" s="200">
        <v>1</v>
      </c>
      <c r="O1903" s="699"/>
      <c r="P1903" s="176"/>
      <c r="Q1903" s="201" t="s">
        <v>1114</v>
      </c>
      <c r="R1903" s="620"/>
      <c r="S1903" s="9"/>
      <c r="T1903" s="9"/>
      <c r="U1903" s="9"/>
      <c r="V1903" s="9"/>
    </row>
    <row r="1904" spans="1:22" s="8" customFormat="1" ht="49.5" x14ac:dyDescent="0.25">
      <c r="A1904" s="1065"/>
      <c r="B1904" s="1064"/>
      <c r="C1904" s="356" t="s">
        <v>37</v>
      </c>
      <c r="D1904" s="357">
        <v>85865.83</v>
      </c>
      <c r="E1904" s="690" t="s">
        <v>620</v>
      </c>
      <c r="F1904" s="361" t="s">
        <v>614</v>
      </c>
      <c r="G1904" s="357">
        <f>72767.65*1.18</f>
        <v>85865.82699999999</v>
      </c>
      <c r="H1904" s="360">
        <v>42429</v>
      </c>
      <c r="I1904" s="360">
        <v>42495</v>
      </c>
      <c r="J1904" s="361">
        <v>85865.83</v>
      </c>
      <c r="K1904" s="361">
        <v>85865.83</v>
      </c>
      <c r="L1904" s="360"/>
      <c r="M1904" s="361"/>
      <c r="N1904" s="362"/>
      <c r="O1904" s="466" t="s">
        <v>698</v>
      </c>
      <c r="P1904" s="176"/>
      <c r="Q1904" s="497"/>
      <c r="R1904" s="496"/>
      <c r="S1904" s="2"/>
      <c r="T1904" s="2"/>
      <c r="U1904" s="2"/>
      <c r="V1904" s="2"/>
    </row>
    <row r="1905" spans="1:22" s="11" customFormat="1" ht="33" outlineLevel="1" x14ac:dyDescent="0.25">
      <c r="A1905" s="1065"/>
      <c r="B1905" s="1064"/>
      <c r="C1905" s="549" t="s">
        <v>1095</v>
      </c>
      <c r="D1905" s="169">
        <v>29606.604603297299</v>
      </c>
      <c r="E1905" s="702"/>
      <c r="F1905" s="173"/>
      <c r="G1905" s="169"/>
      <c r="H1905" s="171"/>
      <c r="I1905" s="171"/>
      <c r="J1905" s="173"/>
      <c r="K1905" s="173"/>
      <c r="L1905" s="171"/>
      <c r="M1905" s="173"/>
      <c r="N1905" s="709"/>
      <c r="O1905" s="287"/>
      <c r="P1905" s="176"/>
      <c r="Q1905" s="446"/>
      <c r="R1905" s="335"/>
      <c r="S1905" s="2"/>
      <c r="T1905" s="2"/>
      <c r="U1905" s="2"/>
      <c r="V1905" s="2"/>
    </row>
    <row r="1906" spans="1:22" s="8" customFormat="1" ht="17.25" thickBot="1" x14ac:dyDescent="0.3">
      <c r="A1906" s="1066"/>
      <c r="B1906" s="1066"/>
      <c r="C1906" s="342"/>
      <c r="D1906" s="945">
        <f>SUM(D1903:D1905)</f>
        <v>3970376.3746032971</v>
      </c>
      <c r="E1906" s="942"/>
      <c r="F1906" s="943"/>
      <c r="G1906" s="945">
        <f>SUM(G1903:G1904)</f>
        <v>3940769.767</v>
      </c>
      <c r="H1906" s="941"/>
      <c r="I1906" s="172"/>
      <c r="J1906" s="952">
        <f>SUM(J1903:J1904)</f>
        <v>3440005.6</v>
      </c>
      <c r="K1906" s="945">
        <f>SUM(K1903:K1904)</f>
        <v>3440005.6</v>
      </c>
      <c r="L1906" s="340"/>
      <c r="M1906" s="945"/>
      <c r="N1906" s="878">
        <f>AVERAGE(N1903:N1904)</f>
        <v>1</v>
      </c>
      <c r="O1906" s="707"/>
      <c r="P1906" s="176"/>
      <c r="Q1906" s="497"/>
      <c r="R1906" s="496"/>
      <c r="S1906" s="2"/>
      <c r="T1906" s="2"/>
      <c r="U1906" s="2"/>
      <c r="V1906" s="2"/>
    </row>
    <row r="1907" spans="1:22" s="6" customFormat="1" ht="33" x14ac:dyDescent="0.25">
      <c r="A1907" s="1065">
        <v>37</v>
      </c>
      <c r="B1907" s="1076" t="s">
        <v>397</v>
      </c>
      <c r="C1907" s="281" t="s">
        <v>500</v>
      </c>
      <c r="D1907" s="208">
        <v>13285162.01</v>
      </c>
      <c r="E1907" s="948" t="s">
        <v>860</v>
      </c>
      <c r="F1907" s="947" t="s">
        <v>661</v>
      </c>
      <c r="G1907" s="208">
        <v>12949147.720000001</v>
      </c>
      <c r="H1907" s="950">
        <v>42567</v>
      </c>
      <c r="I1907" s="950">
        <v>42585</v>
      </c>
      <c r="J1907" s="947">
        <v>13285162.01</v>
      </c>
      <c r="K1907" s="947">
        <v>13285162.01</v>
      </c>
      <c r="L1907" s="254"/>
      <c r="M1907" s="255"/>
      <c r="N1907" s="909">
        <v>1</v>
      </c>
      <c r="O1907" s="699"/>
      <c r="P1907" s="176"/>
      <c r="Q1907" s="497"/>
      <c r="R1907" s="620"/>
      <c r="S1907" s="9"/>
      <c r="T1907" s="9"/>
      <c r="U1907" s="9"/>
      <c r="V1907" s="9"/>
    </row>
    <row r="1908" spans="1:22" s="8" customFormat="1" ht="49.5" x14ac:dyDescent="0.25">
      <c r="A1908" s="1065"/>
      <c r="B1908" s="1076"/>
      <c r="C1908" s="356" t="s">
        <v>37</v>
      </c>
      <c r="D1908" s="357">
        <v>105350.65</v>
      </c>
      <c r="E1908" s="690" t="s">
        <v>621</v>
      </c>
      <c r="F1908" s="361" t="s">
        <v>614</v>
      </c>
      <c r="G1908" s="357">
        <f>89280.22*1.18</f>
        <v>105350.6596</v>
      </c>
      <c r="H1908" s="360">
        <v>42384</v>
      </c>
      <c r="I1908" s="360">
        <v>42472</v>
      </c>
      <c r="J1908" s="361">
        <v>89280.22</v>
      </c>
      <c r="K1908" s="361">
        <v>89280.22</v>
      </c>
      <c r="L1908" s="360">
        <v>42732</v>
      </c>
      <c r="M1908" s="361"/>
      <c r="N1908" s="539"/>
      <c r="O1908" s="466" t="s">
        <v>734</v>
      </c>
      <c r="P1908" s="176"/>
      <c r="Q1908" s="497"/>
      <c r="R1908" s="496"/>
      <c r="S1908" s="2"/>
      <c r="T1908" s="2"/>
      <c r="U1908" s="2"/>
      <c r="V1908" s="2"/>
    </row>
    <row r="1909" spans="1:22" s="8" customFormat="1" ht="17.25" thickBot="1" x14ac:dyDescent="0.3">
      <c r="A1909" s="1066" t="s">
        <v>628</v>
      </c>
      <c r="B1909" s="1066"/>
      <c r="C1909" s="342"/>
      <c r="D1909" s="945">
        <f>SUM(D1907:D1908)</f>
        <v>13390512.66</v>
      </c>
      <c r="E1909" s="942"/>
      <c r="F1909" s="943"/>
      <c r="G1909" s="945">
        <f>SUM(G1907:G1908)</f>
        <v>13054498.379600001</v>
      </c>
      <c r="H1909" s="941"/>
      <c r="I1909" s="172"/>
      <c r="J1909" s="952">
        <f>SUM(J1907:J1908)</f>
        <v>13374442.23</v>
      </c>
      <c r="K1909" s="945">
        <f>SUM(K1907:K1908)</f>
        <v>13374442.23</v>
      </c>
      <c r="L1909" s="340"/>
      <c r="M1909" s="945"/>
      <c r="N1909" s="878">
        <f>AVERAGE(N1907:N1908)</f>
        <v>1</v>
      </c>
      <c r="O1909" s="694"/>
      <c r="P1909" s="176"/>
      <c r="Q1909" s="497"/>
      <c r="R1909" s="496"/>
      <c r="S1909" s="2"/>
      <c r="T1909" s="2"/>
      <c r="U1909" s="2"/>
      <c r="V1909" s="2"/>
    </row>
    <row r="1910" spans="1:22" s="6" customFormat="1" ht="33" x14ac:dyDescent="0.25">
      <c r="A1910" s="1065">
        <v>38</v>
      </c>
      <c r="B1910" s="1064" t="s">
        <v>398</v>
      </c>
      <c r="C1910" s="281" t="s">
        <v>500</v>
      </c>
      <c r="D1910" s="208">
        <v>5406436.6799999997</v>
      </c>
      <c r="E1910" s="948" t="s">
        <v>1088</v>
      </c>
      <c r="F1910" s="947" t="s">
        <v>670</v>
      </c>
      <c r="G1910" s="208">
        <v>5406436.6799999997</v>
      </c>
      <c r="H1910" s="950">
        <v>42674</v>
      </c>
      <c r="I1910" s="950">
        <v>42719</v>
      </c>
      <c r="J1910" s="947">
        <v>5142450.62</v>
      </c>
      <c r="K1910" s="947">
        <v>5142450.62</v>
      </c>
      <c r="L1910" s="254"/>
      <c r="M1910" s="255"/>
      <c r="N1910" s="914">
        <v>0.4</v>
      </c>
      <c r="O1910" s="699"/>
      <c r="P1910" s="176"/>
      <c r="Q1910" s="497"/>
      <c r="R1910" s="620"/>
      <c r="S1910" s="9"/>
      <c r="T1910" s="9"/>
      <c r="U1910" s="9"/>
      <c r="V1910" s="9"/>
    </row>
    <row r="1911" spans="1:22" s="8" customFormat="1" ht="49.5" x14ac:dyDescent="0.25">
      <c r="A1911" s="1065"/>
      <c r="B1911" s="1064"/>
      <c r="C1911" s="356" t="s">
        <v>37</v>
      </c>
      <c r="D1911" s="357">
        <v>82359.94</v>
      </c>
      <c r="E1911" s="690" t="s">
        <v>620</v>
      </c>
      <c r="F1911" s="361" t="s">
        <v>614</v>
      </c>
      <c r="G1911" s="357">
        <f>69796.56*1.18</f>
        <v>82359.940799999997</v>
      </c>
      <c r="H1911" s="360">
        <v>42429</v>
      </c>
      <c r="I1911" s="360">
        <v>42495</v>
      </c>
      <c r="J1911" s="361">
        <v>82359.94</v>
      </c>
      <c r="K1911" s="361">
        <v>82359.94</v>
      </c>
      <c r="L1911" s="360"/>
      <c r="M1911" s="361"/>
      <c r="N1911" s="539"/>
      <c r="O1911" s="466" t="s">
        <v>734</v>
      </c>
      <c r="P1911" s="176"/>
      <c r="Q1911" s="497"/>
      <c r="R1911" s="496"/>
      <c r="S1911" s="2"/>
      <c r="T1911" s="2"/>
      <c r="U1911" s="2"/>
      <c r="V1911" s="2"/>
    </row>
    <row r="1912" spans="1:22" s="11" customFormat="1" ht="33" outlineLevel="1" x14ac:dyDescent="0.25">
      <c r="A1912" s="1065"/>
      <c r="B1912" s="1064"/>
      <c r="C1912" s="549" t="s">
        <v>1095</v>
      </c>
      <c r="D1912" s="169">
        <v>52218.4622302063</v>
      </c>
      <c r="E1912" s="942"/>
      <c r="F1912" s="943"/>
      <c r="G1912" s="169"/>
      <c r="H1912" s="941"/>
      <c r="I1912" s="941"/>
      <c r="J1912" s="943"/>
      <c r="K1912" s="943"/>
      <c r="L1912" s="941"/>
      <c r="M1912" s="943"/>
      <c r="N1912" s="915"/>
      <c r="O1912" s="287"/>
      <c r="P1912" s="176"/>
      <c r="Q1912" s="446"/>
      <c r="R1912" s="335"/>
      <c r="S1912" s="2"/>
      <c r="T1912" s="2"/>
      <c r="U1912" s="2"/>
      <c r="V1912" s="2"/>
    </row>
    <row r="1913" spans="1:22" s="8" customFormat="1" ht="17.25" thickBot="1" x14ac:dyDescent="0.3">
      <c r="A1913" s="1066" t="s">
        <v>628</v>
      </c>
      <c r="B1913" s="1066"/>
      <c r="C1913" s="342"/>
      <c r="D1913" s="945">
        <f>SUM(D1910:D1912)</f>
        <v>5541015.0822302066</v>
      </c>
      <c r="E1913" s="942"/>
      <c r="F1913" s="943"/>
      <c r="G1913" s="945">
        <f>SUM(G1910:G1911)</f>
        <v>5488796.6207999997</v>
      </c>
      <c r="H1913" s="941"/>
      <c r="I1913" s="172"/>
      <c r="J1913" s="952">
        <f>SUM(J1910:J1911)</f>
        <v>5224810.5600000005</v>
      </c>
      <c r="K1913" s="945">
        <f>SUM(K1910:K1911)</f>
        <v>5224810.5600000005</v>
      </c>
      <c r="L1913" s="340"/>
      <c r="M1913" s="945"/>
      <c r="N1913" s="878">
        <f>AVERAGE(N1910:N1911)</f>
        <v>0.4</v>
      </c>
      <c r="O1913" s="707"/>
      <c r="P1913" s="176"/>
      <c r="Q1913" s="497"/>
      <c r="R1913" s="496"/>
      <c r="S1913" s="2"/>
      <c r="T1913" s="2"/>
      <c r="U1913" s="2"/>
      <c r="V1913" s="2"/>
    </row>
    <row r="1914" spans="1:22" s="6" customFormat="1" ht="33" x14ac:dyDescent="0.25">
      <c r="A1914" s="1065">
        <v>39</v>
      </c>
      <c r="B1914" s="1077" t="s">
        <v>1057</v>
      </c>
      <c r="C1914" s="281" t="s">
        <v>500</v>
      </c>
      <c r="D1914" s="208">
        <v>7146609.8200000003</v>
      </c>
      <c r="E1914" s="948" t="s">
        <v>1031</v>
      </c>
      <c r="F1914" s="947" t="s">
        <v>1032</v>
      </c>
      <c r="G1914" s="208">
        <v>7146609.8200000003</v>
      </c>
      <c r="H1914" s="950">
        <v>42636</v>
      </c>
      <c r="I1914" s="950">
        <v>42672</v>
      </c>
      <c r="J1914" s="947">
        <v>6767183.1799999997</v>
      </c>
      <c r="K1914" s="947">
        <v>6767183.1799999997</v>
      </c>
      <c r="L1914" s="950">
        <v>42697</v>
      </c>
      <c r="M1914" s="255"/>
      <c r="N1914" s="909">
        <v>1</v>
      </c>
      <c r="O1914" s="699"/>
      <c r="P1914" s="176"/>
      <c r="Q1914" s="201" t="s">
        <v>1114</v>
      </c>
      <c r="R1914" s="620"/>
      <c r="S1914" s="9"/>
      <c r="T1914" s="9"/>
      <c r="U1914" s="9"/>
      <c r="V1914" s="9"/>
    </row>
    <row r="1915" spans="1:22" s="8" customFormat="1" ht="49.5" x14ac:dyDescent="0.25">
      <c r="A1915" s="1065"/>
      <c r="B1915" s="1077"/>
      <c r="C1915" s="356" t="s">
        <v>37</v>
      </c>
      <c r="D1915" s="357">
        <v>99995.45</v>
      </c>
      <c r="E1915" s="690" t="s">
        <v>621</v>
      </c>
      <c r="F1915" s="361" t="s">
        <v>614</v>
      </c>
      <c r="G1915" s="357">
        <f>84741.91*1.18</f>
        <v>99995.453800000003</v>
      </c>
      <c r="H1915" s="360">
        <v>42384</v>
      </c>
      <c r="I1915" s="360">
        <v>42452</v>
      </c>
      <c r="J1915" s="361">
        <v>84741.91</v>
      </c>
      <c r="K1915" s="361">
        <v>84741.909999999989</v>
      </c>
      <c r="L1915" s="360">
        <v>42732</v>
      </c>
      <c r="M1915" s="361"/>
      <c r="N1915" s="539"/>
      <c r="O1915" s="466"/>
      <c r="P1915" s="176"/>
      <c r="Q1915" s="497"/>
      <c r="R1915" s="496"/>
      <c r="S1915" s="2"/>
      <c r="T1915" s="2"/>
      <c r="U1915" s="2"/>
      <c r="V1915" s="2"/>
    </row>
    <row r="1916" spans="1:22" s="11" customFormat="1" ht="33" outlineLevel="1" x14ac:dyDescent="0.25">
      <c r="A1916" s="1065"/>
      <c r="B1916" s="1077"/>
      <c r="C1916" s="549" t="s">
        <v>1095</v>
      </c>
      <c r="D1916" s="169">
        <v>53643.987074362398</v>
      </c>
      <c r="E1916" s="942"/>
      <c r="F1916" s="943"/>
      <c r="G1916" s="169"/>
      <c r="H1916" s="941"/>
      <c r="I1916" s="941"/>
      <c r="J1916" s="943"/>
      <c r="K1916" s="943"/>
      <c r="L1916" s="941"/>
      <c r="M1916" s="943"/>
      <c r="N1916" s="915"/>
      <c r="O1916" s="287"/>
      <c r="P1916" s="176"/>
      <c r="Q1916" s="446"/>
      <c r="R1916" s="335"/>
      <c r="S1916" s="2"/>
      <c r="T1916" s="2"/>
      <c r="U1916" s="2"/>
      <c r="V1916" s="2"/>
    </row>
    <row r="1917" spans="1:22" s="8" customFormat="1" ht="17.25" thickBot="1" x14ac:dyDescent="0.3">
      <c r="A1917" s="1066" t="s">
        <v>628</v>
      </c>
      <c r="B1917" s="1066"/>
      <c r="C1917" s="342"/>
      <c r="D1917" s="945">
        <f>SUM(D1914:D1916)</f>
        <v>7300249.2570743626</v>
      </c>
      <c r="E1917" s="942"/>
      <c r="F1917" s="943"/>
      <c r="G1917" s="945">
        <f>SUM(G1914:G1915)</f>
        <v>7246605.2738000005</v>
      </c>
      <c r="H1917" s="941"/>
      <c r="I1917" s="172"/>
      <c r="J1917" s="952">
        <f>SUM(J1914:J1915)</f>
        <v>6851925.0899999999</v>
      </c>
      <c r="K1917" s="945">
        <f>SUM(K1914:K1915)</f>
        <v>6851925.0899999999</v>
      </c>
      <c r="L1917" s="340"/>
      <c r="M1917" s="945"/>
      <c r="N1917" s="878">
        <f>AVERAGE(N1914:N1915)</f>
        <v>1</v>
      </c>
      <c r="O1917" s="694"/>
      <c r="P1917" s="176"/>
      <c r="Q1917" s="497"/>
      <c r="R1917" s="496"/>
      <c r="S1917" s="2"/>
      <c r="T1917" s="2"/>
      <c r="U1917" s="2"/>
      <c r="V1917" s="2"/>
    </row>
    <row r="1918" spans="1:22" s="76" customFormat="1" ht="33" x14ac:dyDescent="0.25">
      <c r="A1918" s="1065">
        <v>40</v>
      </c>
      <c r="B1918" s="1076" t="s">
        <v>399</v>
      </c>
      <c r="C1918" s="281" t="s">
        <v>500</v>
      </c>
      <c r="D1918" s="208">
        <v>7628792.7300000004</v>
      </c>
      <c r="E1918" s="948" t="s">
        <v>946</v>
      </c>
      <c r="F1918" s="947" t="s">
        <v>947</v>
      </c>
      <c r="G1918" s="208">
        <v>11921781.9</v>
      </c>
      <c r="H1918" s="950">
        <v>42618</v>
      </c>
      <c r="I1918" s="950">
        <v>42599</v>
      </c>
      <c r="J1918" s="947">
        <v>7628792.7300000004</v>
      </c>
      <c r="K1918" s="947">
        <v>7628792.7300000004</v>
      </c>
      <c r="L1918" s="254"/>
      <c r="M1918" s="255"/>
      <c r="N1918" s="909">
        <v>1</v>
      </c>
      <c r="O1918" s="718"/>
      <c r="P1918" s="176"/>
      <c r="Q1918" s="497"/>
      <c r="R1918" s="623"/>
      <c r="S1918" s="72"/>
      <c r="T1918" s="72"/>
      <c r="U1918" s="72"/>
      <c r="V1918" s="72"/>
    </row>
    <row r="1919" spans="1:22" s="8" customFormat="1" ht="49.5" x14ac:dyDescent="0.25">
      <c r="A1919" s="1065"/>
      <c r="B1919" s="1076"/>
      <c r="C1919" s="356" t="s">
        <v>37</v>
      </c>
      <c r="D1919" s="357">
        <v>106606.93</v>
      </c>
      <c r="E1919" s="690" t="s">
        <v>621</v>
      </c>
      <c r="F1919" s="361" t="s">
        <v>614</v>
      </c>
      <c r="G1919" s="357">
        <v>106606.93</v>
      </c>
      <c r="H1919" s="360">
        <v>42384</v>
      </c>
      <c r="I1919" s="360">
        <v>42475</v>
      </c>
      <c r="J1919" s="361">
        <v>90344.86</v>
      </c>
      <c r="K1919" s="361">
        <v>90344.86</v>
      </c>
      <c r="L1919" s="360">
        <v>42732</v>
      </c>
      <c r="M1919" s="361"/>
      <c r="N1919" s="539"/>
      <c r="O1919" s="466" t="s">
        <v>734</v>
      </c>
      <c r="P1919" s="176"/>
      <c r="Q1919" s="497"/>
      <c r="R1919" s="496"/>
      <c r="S1919" s="2"/>
      <c r="T1919" s="2"/>
      <c r="U1919" s="2"/>
      <c r="V1919" s="2"/>
    </row>
    <row r="1920" spans="1:22" s="8" customFormat="1" ht="17.25" thickBot="1" x14ac:dyDescent="0.3">
      <c r="A1920" s="1066" t="s">
        <v>628</v>
      </c>
      <c r="B1920" s="1066"/>
      <c r="C1920" s="342"/>
      <c r="D1920" s="945">
        <f>SUM(D1918:D1919)</f>
        <v>7735399.6600000001</v>
      </c>
      <c r="E1920" s="942"/>
      <c r="F1920" s="943"/>
      <c r="G1920" s="945">
        <f>SUM(G1918:G1919)</f>
        <v>12028388.83</v>
      </c>
      <c r="H1920" s="941"/>
      <c r="I1920" s="172"/>
      <c r="J1920" s="952">
        <f>SUM(J1918:J1919)</f>
        <v>7719137.5900000008</v>
      </c>
      <c r="K1920" s="945">
        <f>SUM(K1918:K1919)</f>
        <v>7719137.5900000008</v>
      </c>
      <c r="L1920" s="340"/>
      <c r="M1920" s="945"/>
      <c r="N1920" s="878">
        <f>AVERAGE(N1918:N1919)</f>
        <v>1</v>
      </c>
      <c r="O1920" s="694"/>
      <c r="P1920" s="176"/>
      <c r="Q1920" s="497"/>
      <c r="R1920" s="496"/>
      <c r="S1920" s="2"/>
      <c r="T1920" s="2"/>
      <c r="U1920" s="2"/>
      <c r="V1920" s="2"/>
    </row>
    <row r="1921" spans="1:22" s="6" customFormat="1" ht="33" x14ac:dyDescent="0.25">
      <c r="A1921" s="1065">
        <v>41</v>
      </c>
      <c r="B1921" s="1076" t="s">
        <v>32</v>
      </c>
      <c r="C1921" s="342" t="s">
        <v>501</v>
      </c>
      <c r="D1921" s="339">
        <v>23555496.2999999</v>
      </c>
      <c r="E1921" s="942" t="s">
        <v>1195</v>
      </c>
      <c r="F1921" s="943" t="s">
        <v>670</v>
      </c>
      <c r="G1921" s="339">
        <v>23555496.300000001</v>
      </c>
      <c r="H1921" s="941">
        <v>42917</v>
      </c>
      <c r="I1921" s="954"/>
      <c r="J1921" s="943"/>
      <c r="K1921" s="949"/>
      <c r="L1921" s="955"/>
      <c r="M1921" s="949"/>
      <c r="N1921" s="914">
        <v>0</v>
      </c>
      <c r="O1921" s="699"/>
      <c r="P1921" s="176">
        <v>2017</v>
      </c>
      <c r="Q1921" s="497"/>
      <c r="R1921" s="620"/>
      <c r="S1921" s="9"/>
      <c r="T1921" s="9"/>
      <c r="U1921" s="9"/>
      <c r="V1921" s="9"/>
    </row>
    <row r="1922" spans="1:22" s="6" customFormat="1" ht="49.5" x14ac:dyDescent="0.25">
      <c r="A1922" s="1065"/>
      <c r="B1922" s="1076"/>
      <c r="C1922" s="356" t="s">
        <v>37</v>
      </c>
      <c r="D1922" s="357">
        <v>102920</v>
      </c>
      <c r="E1922" s="690" t="s">
        <v>621</v>
      </c>
      <c r="F1922" s="361" t="s">
        <v>614</v>
      </c>
      <c r="G1922" s="357">
        <f>87217.85*1.18</f>
        <v>102917.06299999999</v>
      </c>
      <c r="H1922" s="360">
        <v>42384</v>
      </c>
      <c r="I1922" s="360">
        <v>42527</v>
      </c>
      <c r="J1922" s="361">
        <v>87217.85</v>
      </c>
      <c r="K1922" s="361">
        <v>87217.85</v>
      </c>
      <c r="L1922" s="360">
        <v>42732</v>
      </c>
      <c r="M1922" s="361"/>
      <c r="N1922" s="539"/>
      <c r="O1922" s="466" t="s">
        <v>734</v>
      </c>
      <c r="P1922" s="176"/>
      <c r="Q1922" s="497"/>
      <c r="R1922" s="620"/>
      <c r="S1922" s="9"/>
      <c r="T1922" s="9"/>
      <c r="U1922" s="9"/>
      <c r="V1922" s="9"/>
    </row>
    <row r="1923" spans="1:22" s="8" customFormat="1" ht="17.25" thickBot="1" x14ac:dyDescent="0.3">
      <c r="A1923" s="1066" t="s">
        <v>628</v>
      </c>
      <c r="B1923" s="1066"/>
      <c r="C1923" s="342"/>
      <c r="D1923" s="945">
        <f>SUM(D1921:D1922)</f>
        <v>23658416.2999999</v>
      </c>
      <c r="E1923" s="942"/>
      <c r="F1923" s="943"/>
      <c r="G1923" s="945">
        <f>SUM(G1921:G1922)</f>
        <v>23658413.363000002</v>
      </c>
      <c r="H1923" s="941"/>
      <c r="I1923" s="172"/>
      <c r="J1923" s="952">
        <f>SUM(J1921:J1922)</f>
        <v>87217.85</v>
      </c>
      <c r="K1923" s="945">
        <f>SUM(K1921:K1922)</f>
        <v>87217.85</v>
      </c>
      <c r="L1923" s="340"/>
      <c r="M1923" s="945"/>
      <c r="N1923" s="878">
        <f>AVERAGE(N1921:N1922)</f>
        <v>0</v>
      </c>
      <c r="O1923" s="694"/>
      <c r="P1923" s="176"/>
      <c r="Q1923" s="497"/>
      <c r="R1923" s="496"/>
      <c r="S1923" s="2"/>
      <c r="T1923" s="2"/>
      <c r="U1923" s="2"/>
      <c r="V1923" s="2"/>
    </row>
    <row r="1924" spans="1:22" s="6" customFormat="1" ht="33" x14ac:dyDescent="0.25">
      <c r="A1924" s="1065">
        <v>42</v>
      </c>
      <c r="B1924" s="1064" t="s">
        <v>400</v>
      </c>
      <c r="C1924" s="281" t="s">
        <v>500</v>
      </c>
      <c r="D1924" s="208">
        <v>10614700.619999999</v>
      </c>
      <c r="E1924" s="948" t="s">
        <v>778</v>
      </c>
      <c r="F1924" s="947" t="s">
        <v>661</v>
      </c>
      <c r="G1924" s="208">
        <v>10183896.779999999</v>
      </c>
      <c r="H1924" s="950">
        <v>42520</v>
      </c>
      <c r="I1924" s="950">
        <v>42528</v>
      </c>
      <c r="J1924" s="947">
        <v>10614700.619999999</v>
      </c>
      <c r="K1924" s="947">
        <v>10614700.619999999</v>
      </c>
      <c r="L1924" s="950"/>
      <c r="M1924" s="947">
        <f>J1924-D1924</f>
        <v>0</v>
      </c>
      <c r="N1924" s="909">
        <v>1</v>
      </c>
      <c r="O1924" s="718"/>
      <c r="P1924" s="176"/>
      <c r="Q1924" s="497"/>
      <c r="R1924" s="620"/>
      <c r="S1924" s="9"/>
      <c r="T1924" s="9"/>
      <c r="U1924" s="9"/>
      <c r="V1924" s="9"/>
    </row>
    <row r="1925" spans="1:22" s="8" customFormat="1" ht="49.5" x14ac:dyDescent="0.25">
      <c r="A1925" s="1065"/>
      <c r="B1925" s="1064"/>
      <c r="C1925" s="356" t="s">
        <v>37</v>
      </c>
      <c r="D1925" s="357">
        <v>104667.07</v>
      </c>
      <c r="E1925" s="690" t="s">
        <v>620</v>
      </c>
      <c r="F1925" s="361" t="s">
        <v>614</v>
      </c>
      <c r="G1925" s="357">
        <f>88700.91*1.18</f>
        <v>104667.0738</v>
      </c>
      <c r="H1925" s="360">
        <v>42429</v>
      </c>
      <c r="I1925" s="360">
        <v>42495</v>
      </c>
      <c r="J1925" s="361">
        <v>104667.07</v>
      </c>
      <c r="K1925" s="361">
        <v>104667.07</v>
      </c>
      <c r="L1925" s="360"/>
      <c r="M1925" s="361"/>
      <c r="N1925" s="539"/>
      <c r="O1925" s="466" t="s">
        <v>734</v>
      </c>
      <c r="P1925" s="176"/>
      <c r="Q1925" s="497"/>
      <c r="R1925" s="496"/>
      <c r="S1925" s="2"/>
      <c r="T1925" s="2"/>
      <c r="U1925" s="2"/>
      <c r="V1925" s="2"/>
    </row>
    <row r="1926" spans="1:22" s="8" customFormat="1" ht="17.25" thickBot="1" x14ac:dyDescent="0.3">
      <c r="A1926" s="1066" t="s">
        <v>628</v>
      </c>
      <c r="B1926" s="1066"/>
      <c r="C1926" s="549"/>
      <c r="D1926" s="946">
        <f>SUM(D1924:D1925)</f>
        <v>10719367.689999999</v>
      </c>
      <c r="E1926" s="942"/>
      <c r="F1926" s="943"/>
      <c r="G1926" s="946">
        <f>SUM(G1924:G1925)</f>
        <v>10288563.853799999</v>
      </c>
      <c r="H1926" s="941"/>
      <c r="I1926" s="172"/>
      <c r="J1926" s="953">
        <f t="shared" ref="J1926" si="138">SUM(J1924:J1925)</f>
        <v>10719367.689999999</v>
      </c>
      <c r="K1926" s="946">
        <f>SUM(K1924:K1925)</f>
        <v>10719367.689999999</v>
      </c>
      <c r="L1926" s="956"/>
      <c r="M1926" s="946"/>
      <c r="N1926" s="878">
        <f>AVERAGE(N1924:N1925)</f>
        <v>1</v>
      </c>
      <c r="O1926" s="285"/>
      <c r="P1926" s="176"/>
      <c r="Q1926" s="497"/>
      <c r="R1926" s="496"/>
      <c r="S1926" s="2"/>
      <c r="T1926" s="2"/>
      <c r="U1926" s="2"/>
      <c r="V1926" s="2"/>
    </row>
    <row r="1927" spans="1:22" s="6" customFormat="1" ht="33" x14ac:dyDescent="0.25">
      <c r="A1927" s="1065">
        <v>43</v>
      </c>
      <c r="B1927" s="1064" t="s">
        <v>401</v>
      </c>
      <c r="C1927" s="281" t="s">
        <v>500</v>
      </c>
      <c r="D1927" s="208">
        <v>10705933.5</v>
      </c>
      <c r="E1927" s="948" t="s">
        <v>777</v>
      </c>
      <c r="F1927" s="947" t="s">
        <v>661</v>
      </c>
      <c r="G1927" s="208">
        <v>10156959.74</v>
      </c>
      <c r="H1927" s="950">
        <v>42520</v>
      </c>
      <c r="I1927" s="950">
        <v>42528</v>
      </c>
      <c r="J1927" s="947">
        <v>10705933.5</v>
      </c>
      <c r="K1927" s="947">
        <v>10705933.5</v>
      </c>
      <c r="L1927" s="950"/>
      <c r="M1927" s="947">
        <f>J1927-D1927</f>
        <v>0</v>
      </c>
      <c r="N1927" s="909">
        <v>1</v>
      </c>
      <c r="O1927" s="718"/>
      <c r="P1927" s="176"/>
      <c r="Q1927" s="497"/>
      <c r="R1927" s="620"/>
      <c r="S1927" s="9"/>
      <c r="T1927" s="9"/>
      <c r="U1927" s="9"/>
      <c r="V1927" s="9"/>
    </row>
    <row r="1928" spans="1:22" s="8" customFormat="1" ht="49.5" x14ac:dyDescent="0.25">
      <c r="A1928" s="1065"/>
      <c r="B1928" s="1064"/>
      <c r="C1928" s="356" t="s">
        <v>37</v>
      </c>
      <c r="D1928" s="357">
        <v>110233.56</v>
      </c>
      <c r="E1928" s="690" t="s">
        <v>620</v>
      </c>
      <c r="F1928" s="361" t="s">
        <v>614</v>
      </c>
      <c r="G1928" s="357">
        <f>93418.27*1.18</f>
        <v>110233.5586</v>
      </c>
      <c r="H1928" s="360">
        <v>42429</v>
      </c>
      <c r="I1928" s="360">
        <v>42495</v>
      </c>
      <c r="J1928" s="361">
        <v>110233.56</v>
      </c>
      <c r="K1928" s="361">
        <v>110233.56</v>
      </c>
      <c r="L1928" s="360"/>
      <c r="M1928" s="361"/>
      <c r="N1928" s="539"/>
      <c r="O1928" s="466" t="s">
        <v>737</v>
      </c>
      <c r="P1928" s="176"/>
      <c r="Q1928" s="497"/>
      <c r="R1928" s="496"/>
      <c r="S1928" s="2"/>
      <c r="T1928" s="2"/>
      <c r="U1928" s="2"/>
      <c r="V1928" s="2"/>
    </row>
    <row r="1929" spans="1:22" s="8" customFormat="1" ht="17.25" thickBot="1" x14ac:dyDescent="0.3">
      <c r="A1929" s="1066" t="s">
        <v>628</v>
      </c>
      <c r="B1929" s="1066"/>
      <c r="C1929" s="342"/>
      <c r="D1929" s="945">
        <f>SUM(D1927:D1928)</f>
        <v>10816167.060000001</v>
      </c>
      <c r="E1929" s="942"/>
      <c r="F1929" s="943"/>
      <c r="G1929" s="945">
        <f>SUM(G1927:G1928)</f>
        <v>10267193.298599999</v>
      </c>
      <c r="H1929" s="941"/>
      <c r="I1929" s="172"/>
      <c r="J1929" s="952">
        <f t="shared" ref="J1929" si="139">SUM(J1927:J1928)</f>
        <v>10816167.060000001</v>
      </c>
      <c r="K1929" s="945">
        <f>SUM(K1927:K1928)</f>
        <v>10816167.060000001</v>
      </c>
      <c r="L1929" s="340"/>
      <c r="M1929" s="945"/>
      <c r="N1929" s="878">
        <f>AVERAGE(N1927:N1928)</f>
        <v>1</v>
      </c>
      <c r="O1929" s="694"/>
      <c r="P1929" s="176"/>
      <c r="Q1929" s="497"/>
      <c r="R1929" s="496"/>
      <c r="S1929" s="2"/>
      <c r="T1929" s="2"/>
      <c r="U1929" s="2"/>
      <c r="V1929" s="2"/>
    </row>
    <row r="1930" spans="1:22" s="6" customFormat="1" ht="33" x14ac:dyDescent="0.25">
      <c r="A1930" s="1065">
        <v>44</v>
      </c>
      <c r="B1930" s="1064" t="s">
        <v>402</v>
      </c>
      <c r="C1930" s="281" t="s">
        <v>500</v>
      </c>
      <c r="D1930" s="208">
        <v>11036463.300000001</v>
      </c>
      <c r="E1930" s="948" t="s">
        <v>781</v>
      </c>
      <c r="F1930" s="947" t="s">
        <v>782</v>
      </c>
      <c r="G1930" s="208">
        <v>10500000</v>
      </c>
      <c r="H1930" s="950">
        <v>42531</v>
      </c>
      <c r="I1930" s="950">
        <v>42531</v>
      </c>
      <c r="J1930" s="947">
        <v>11036463.300000001</v>
      </c>
      <c r="K1930" s="947">
        <v>11036463.300000001</v>
      </c>
      <c r="L1930" s="950"/>
      <c r="M1930" s="947">
        <f>J1930-D1930</f>
        <v>0</v>
      </c>
      <c r="N1930" s="916">
        <v>1</v>
      </c>
      <c r="O1930" s="809"/>
      <c r="P1930" s="176"/>
      <c r="Q1930" s="497"/>
      <c r="R1930" s="620"/>
      <c r="S1930" s="9"/>
      <c r="T1930" s="9"/>
      <c r="U1930" s="9"/>
      <c r="V1930" s="9"/>
    </row>
    <row r="1931" spans="1:22" s="8" customFormat="1" ht="49.5" x14ac:dyDescent="0.25">
      <c r="A1931" s="1065"/>
      <c r="B1931" s="1064"/>
      <c r="C1931" s="356" t="s">
        <v>37</v>
      </c>
      <c r="D1931" s="357">
        <v>110842.11</v>
      </c>
      <c r="E1931" s="690" t="s">
        <v>620</v>
      </c>
      <c r="F1931" s="361" t="s">
        <v>614</v>
      </c>
      <c r="G1931" s="357">
        <f>93933.99*1.18</f>
        <v>110842.1082</v>
      </c>
      <c r="H1931" s="360">
        <v>42429</v>
      </c>
      <c r="I1931" s="360">
        <v>42495</v>
      </c>
      <c r="J1931" s="361">
        <v>110842.11</v>
      </c>
      <c r="K1931" s="361">
        <v>110842.11</v>
      </c>
      <c r="L1931" s="360"/>
      <c r="M1931" s="361"/>
      <c r="N1931" s="539"/>
      <c r="O1931" s="466" t="s">
        <v>734</v>
      </c>
      <c r="P1931" s="176"/>
      <c r="Q1931" s="497"/>
      <c r="R1931" s="496"/>
      <c r="S1931" s="2"/>
      <c r="T1931" s="2"/>
      <c r="U1931" s="2"/>
      <c r="V1931" s="2"/>
    </row>
    <row r="1932" spans="1:22" s="8" customFormat="1" ht="17.25" thickBot="1" x14ac:dyDescent="0.3">
      <c r="A1932" s="1066" t="s">
        <v>628</v>
      </c>
      <c r="B1932" s="1066"/>
      <c r="C1932" s="342"/>
      <c r="D1932" s="945">
        <f>SUM(D1930:D1931)</f>
        <v>11147305.41</v>
      </c>
      <c r="E1932" s="942"/>
      <c r="F1932" s="943"/>
      <c r="G1932" s="945">
        <f>SUM(G1930:G1931)</f>
        <v>10610842.108200001</v>
      </c>
      <c r="H1932" s="941"/>
      <c r="I1932" s="172"/>
      <c r="J1932" s="952">
        <f t="shared" ref="J1932" si="140">SUM(J1930:J1931)</f>
        <v>11147305.41</v>
      </c>
      <c r="K1932" s="945">
        <f>SUM(K1930:K1931)</f>
        <v>11147305.41</v>
      </c>
      <c r="L1932" s="340"/>
      <c r="M1932" s="945"/>
      <c r="N1932" s="878">
        <f>AVERAGE(N1930:N1931)</f>
        <v>1</v>
      </c>
      <c r="O1932" s="694"/>
      <c r="P1932" s="176"/>
      <c r="Q1932" s="497"/>
      <c r="R1932" s="496"/>
      <c r="S1932" s="2"/>
      <c r="T1932" s="2"/>
      <c r="U1932" s="2"/>
      <c r="V1932" s="2"/>
    </row>
    <row r="1933" spans="1:22" s="6" customFormat="1" ht="33" x14ac:dyDescent="0.25">
      <c r="A1933" s="1065">
        <v>45</v>
      </c>
      <c r="B1933" s="1064" t="s">
        <v>403</v>
      </c>
      <c r="C1933" s="281" t="s">
        <v>500</v>
      </c>
      <c r="D1933" s="208">
        <v>10723527.300000001</v>
      </c>
      <c r="E1933" s="948" t="s">
        <v>1150</v>
      </c>
      <c r="F1933" s="947" t="s">
        <v>670</v>
      </c>
      <c r="G1933" s="208">
        <v>10232565.880000001</v>
      </c>
      <c r="H1933" s="950">
        <v>42632</v>
      </c>
      <c r="I1933" s="950">
        <v>42685</v>
      </c>
      <c r="J1933" s="947">
        <v>10723527.300000001</v>
      </c>
      <c r="K1933" s="947">
        <v>10723527.300000001</v>
      </c>
      <c r="L1933" s="950">
        <v>42702</v>
      </c>
      <c r="M1933" s="255"/>
      <c r="N1933" s="909">
        <v>1</v>
      </c>
      <c r="O1933" s="699"/>
      <c r="P1933" s="176"/>
      <c r="Q1933" s="201" t="s">
        <v>1114</v>
      </c>
      <c r="R1933" s="620"/>
      <c r="S1933" s="9"/>
      <c r="T1933" s="9"/>
      <c r="U1933" s="9"/>
      <c r="V1933" s="9"/>
    </row>
    <row r="1934" spans="1:22" s="8" customFormat="1" ht="49.5" x14ac:dyDescent="0.25">
      <c r="A1934" s="1065"/>
      <c r="B1934" s="1064"/>
      <c r="C1934" s="356" t="s">
        <v>37</v>
      </c>
      <c r="D1934" s="357">
        <v>110842.11</v>
      </c>
      <c r="E1934" s="690" t="s">
        <v>620</v>
      </c>
      <c r="F1934" s="361" t="s">
        <v>614</v>
      </c>
      <c r="G1934" s="357">
        <f>93933.99*1.18</f>
        <v>110842.1082</v>
      </c>
      <c r="H1934" s="360">
        <v>42429</v>
      </c>
      <c r="I1934" s="360">
        <v>42495</v>
      </c>
      <c r="J1934" s="361">
        <v>110842.11</v>
      </c>
      <c r="K1934" s="361">
        <v>110842.11</v>
      </c>
      <c r="L1934" s="360"/>
      <c r="M1934" s="361"/>
      <c r="N1934" s="539"/>
      <c r="O1934" s="466" t="s">
        <v>734</v>
      </c>
      <c r="P1934" s="176"/>
      <c r="Q1934" s="497"/>
      <c r="R1934" s="496"/>
      <c r="S1934" s="2"/>
      <c r="T1934" s="2"/>
      <c r="U1934" s="2"/>
      <c r="V1934" s="2"/>
    </row>
    <row r="1935" spans="1:22" s="8" customFormat="1" ht="17.25" thickBot="1" x14ac:dyDescent="0.3">
      <c r="A1935" s="1066" t="s">
        <v>628</v>
      </c>
      <c r="B1935" s="1066"/>
      <c r="C1935" s="342"/>
      <c r="D1935" s="945">
        <f>SUM(D1933:D1934)</f>
        <v>10834369.41</v>
      </c>
      <c r="E1935" s="942"/>
      <c r="F1935" s="943"/>
      <c r="G1935" s="945">
        <f>SUM(G1933:G1934)</f>
        <v>10343407.988200001</v>
      </c>
      <c r="H1935" s="941"/>
      <c r="I1935" s="172"/>
      <c r="J1935" s="952">
        <f>SUM(J1933:J1934)</f>
        <v>10834369.41</v>
      </c>
      <c r="K1935" s="945">
        <f>SUM(K1933:K1934)</f>
        <v>10834369.41</v>
      </c>
      <c r="L1935" s="340"/>
      <c r="M1935" s="945"/>
      <c r="N1935" s="878">
        <f>AVERAGE(N1933:N1934)</f>
        <v>1</v>
      </c>
      <c r="O1935" s="694"/>
      <c r="P1935" s="176"/>
      <c r="Q1935" s="497"/>
      <c r="R1935" s="496"/>
      <c r="S1935" s="2"/>
      <c r="T1935" s="2"/>
      <c r="U1935" s="2"/>
      <c r="V1935" s="2"/>
    </row>
    <row r="1936" spans="1:22" s="6" customFormat="1" ht="33" x14ac:dyDescent="0.25">
      <c r="A1936" s="1065">
        <v>46</v>
      </c>
      <c r="B1936" s="1064" t="s">
        <v>404</v>
      </c>
      <c r="C1936" s="281" t="s">
        <v>500</v>
      </c>
      <c r="D1936" s="208">
        <v>5248171.54</v>
      </c>
      <c r="E1936" s="948" t="s">
        <v>1045</v>
      </c>
      <c r="F1936" s="947" t="s">
        <v>670</v>
      </c>
      <c r="G1936" s="208">
        <v>5248171.54</v>
      </c>
      <c r="H1936" s="950">
        <v>42638</v>
      </c>
      <c r="I1936" s="950">
        <v>42695</v>
      </c>
      <c r="J1936" s="947">
        <v>5073618.8600000003</v>
      </c>
      <c r="K1936" s="947">
        <v>5073618.8600000003</v>
      </c>
      <c r="L1936" s="950">
        <v>42723</v>
      </c>
      <c r="M1936" s="255"/>
      <c r="N1936" s="909">
        <v>1</v>
      </c>
      <c r="O1936" s="699"/>
      <c r="P1936" s="176"/>
      <c r="Q1936" s="201" t="s">
        <v>1114</v>
      </c>
      <c r="R1936" s="620"/>
      <c r="S1936" s="9"/>
      <c r="T1936" s="9"/>
      <c r="U1936" s="9"/>
      <c r="V1936" s="9"/>
    </row>
    <row r="1937" spans="1:22" s="8" customFormat="1" ht="49.5" x14ac:dyDescent="0.25">
      <c r="A1937" s="1065"/>
      <c r="B1937" s="1064"/>
      <c r="C1937" s="356" t="s">
        <v>37</v>
      </c>
      <c r="D1937" s="357">
        <v>94635.61</v>
      </c>
      <c r="E1937" s="690" t="s">
        <v>620</v>
      </c>
      <c r="F1937" s="361" t="s">
        <v>614</v>
      </c>
      <c r="G1937" s="357">
        <f>80199.67*1.18</f>
        <v>94635.6106</v>
      </c>
      <c r="H1937" s="360">
        <v>42429</v>
      </c>
      <c r="I1937" s="360">
        <v>42495</v>
      </c>
      <c r="J1937" s="361">
        <v>94635.61</v>
      </c>
      <c r="K1937" s="361">
        <v>94635.61</v>
      </c>
      <c r="L1937" s="360"/>
      <c r="M1937" s="361"/>
      <c r="N1937" s="539"/>
      <c r="O1937" s="466" t="s">
        <v>734</v>
      </c>
      <c r="P1937" s="176"/>
      <c r="Q1937" s="497"/>
      <c r="R1937" s="496"/>
      <c r="S1937" s="2"/>
      <c r="T1937" s="2"/>
      <c r="U1937" s="2"/>
      <c r="V1937" s="2"/>
    </row>
    <row r="1938" spans="1:22" s="11" customFormat="1" ht="33" outlineLevel="1" x14ac:dyDescent="0.25">
      <c r="A1938" s="1065"/>
      <c r="B1938" s="1064"/>
      <c r="C1938" s="549" t="s">
        <v>1095</v>
      </c>
      <c r="D1938" s="169">
        <v>92308.156087046504</v>
      </c>
      <c r="E1938" s="942"/>
      <c r="F1938" s="943"/>
      <c r="G1938" s="169"/>
      <c r="H1938" s="941"/>
      <c r="I1938" s="941"/>
      <c r="J1938" s="943"/>
      <c r="K1938" s="943"/>
      <c r="L1938" s="941"/>
      <c r="M1938" s="943"/>
      <c r="N1938" s="915"/>
      <c r="O1938" s="287"/>
      <c r="P1938" s="176"/>
      <c r="Q1938" s="446"/>
      <c r="R1938" s="335"/>
      <c r="S1938" s="2"/>
      <c r="T1938" s="2"/>
      <c r="U1938" s="2"/>
      <c r="V1938" s="2"/>
    </row>
    <row r="1939" spans="1:22" s="8" customFormat="1" ht="17.25" thickBot="1" x14ac:dyDescent="0.3">
      <c r="A1939" s="1066" t="s">
        <v>628</v>
      </c>
      <c r="B1939" s="1066"/>
      <c r="C1939" s="342"/>
      <c r="D1939" s="945">
        <f>SUM(D1936:D1938)</f>
        <v>5435115.3060870469</v>
      </c>
      <c r="E1939" s="942"/>
      <c r="F1939" s="943"/>
      <c r="G1939" s="945">
        <f>SUM(G1936:G1937)</f>
        <v>5342807.1506000003</v>
      </c>
      <c r="H1939" s="941"/>
      <c r="I1939" s="172"/>
      <c r="J1939" s="952">
        <f>SUM(J1936:J1937)</f>
        <v>5168254.4700000007</v>
      </c>
      <c r="K1939" s="945">
        <f>SUM(K1936:K1937)</f>
        <v>5168254.4700000007</v>
      </c>
      <c r="L1939" s="340"/>
      <c r="M1939" s="945"/>
      <c r="N1939" s="878">
        <f>AVERAGE(N1936:N1937)</f>
        <v>1</v>
      </c>
      <c r="O1939" s="694"/>
      <c r="P1939" s="176"/>
      <c r="Q1939" s="497"/>
      <c r="R1939" s="496"/>
      <c r="S1939" s="2"/>
      <c r="T1939" s="2"/>
      <c r="U1939" s="2"/>
      <c r="V1939" s="2"/>
    </row>
    <row r="1940" spans="1:22" s="8" customFormat="1" ht="49.5" x14ac:dyDescent="0.25">
      <c r="A1940" s="951">
        <v>47</v>
      </c>
      <c r="B1940" s="944" t="s">
        <v>405</v>
      </c>
      <c r="C1940" s="356" t="s">
        <v>37</v>
      </c>
      <c r="D1940" s="357">
        <v>100100.36</v>
      </c>
      <c r="E1940" s="690" t="s">
        <v>620</v>
      </c>
      <c r="F1940" s="361" t="s">
        <v>614</v>
      </c>
      <c r="G1940" s="357">
        <f>84830.81*1.18</f>
        <v>100100.35579999999</v>
      </c>
      <c r="H1940" s="360">
        <v>42429</v>
      </c>
      <c r="I1940" s="393"/>
      <c r="J1940" s="361"/>
      <c r="K1940" s="361"/>
      <c r="L1940" s="360"/>
      <c r="M1940" s="361"/>
      <c r="N1940" s="539">
        <v>1</v>
      </c>
      <c r="O1940" s="466" t="s">
        <v>734</v>
      </c>
      <c r="P1940" s="176"/>
      <c r="Q1940" s="497"/>
      <c r="R1940" s="496"/>
      <c r="S1940" s="2"/>
      <c r="T1940" s="2"/>
      <c r="U1940" s="2"/>
      <c r="V1940" s="2"/>
    </row>
    <row r="1941" spans="1:22" s="8" customFormat="1" ht="17.25" thickBot="1" x14ac:dyDescent="0.3">
      <c r="A1941" s="1066" t="s">
        <v>628</v>
      </c>
      <c r="B1941" s="1066"/>
      <c r="C1941" s="342"/>
      <c r="D1941" s="945">
        <f>SUM(D1940:D1940)</f>
        <v>100100.36</v>
      </c>
      <c r="E1941" s="942"/>
      <c r="F1941" s="943"/>
      <c r="G1941" s="945">
        <f>SUM(G1940:G1940)</f>
        <v>100100.35579999999</v>
      </c>
      <c r="H1941" s="941"/>
      <c r="I1941" s="172"/>
      <c r="J1941" s="943"/>
      <c r="K1941" s="945">
        <f>SUM(K1940:K1940)</f>
        <v>0</v>
      </c>
      <c r="L1941" s="340"/>
      <c r="M1941" s="945"/>
      <c r="N1941" s="878">
        <f>AVERAGE(N1940)</f>
        <v>1</v>
      </c>
      <c r="O1941" s="694"/>
      <c r="P1941" s="176"/>
      <c r="Q1941" s="497"/>
      <c r="R1941" s="496"/>
      <c r="S1941" s="2"/>
      <c r="T1941" s="2"/>
      <c r="U1941" s="2"/>
      <c r="V1941" s="2"/>
    </row>
    <row r="1942" spans="1:22" s="6" customFormat="1" ht="33" x14ac:dyDescent="0.25">
      <c r="A1942" s="1065">
        <v>48</v>
      </c>
      <c r="B1942" s="1064" t="s">
        <v>406</v>
      </c>
      <c r="C1942" s="281" t="s">
        <v>500</v>
      </c>
      <c r="D1942" s="208">
        <v>7916330.9000000004</v>
      </c>
      <c r="E1942" s="948" t="s">
        <v>1084</v>
      </c>
      <c r="F1942" s="947" t="s">
        <v>882</v>
      </c>
      <c r="G1942" s="208">
        <v>7916330.9000000004</v>
      </c>
      <c r="H1942" s="950">
        <v>42658</v>
      </c>
      <c r="I1942" s="950">
        <v>42710</v>
      </c>
      <c r="J1942" s="947">
        <v>7402399.5999999996</v>
      </c>
      <c r="K1942" s="947">
        <v>7402399.5999999996</v>
      </c>
      <c r="L1942" s="950">
        <v>42726</v>
      </c>
      <c r="M1942" s="255"/>
      <c r="N1942" s="909">
        <v>1</v>
      </c>
      <c r="O1942" s="699"/>
      <c r="P1942" s="176"/>
      <c r="Q1942" s="201" t="s">
        <v>1114</v>
      </c>
      <c r="R1942" s="620"/>
      <c r="S1942" s="9"/>
      <c r="T1942" s="9"/>
      <c r="U1942" s="9"/>
      <c r="V1942" s="9"/>
    </row>
    <row r="1943" spans="1:22" s="8" customFormat="1" ht="49.5" x14ac:dyDescent="0.25">
      <c r="A1943" s="1065"/>
      <c r="B1943" s="1064"/>
      <c r="C1943" s="356" t="s">
        <v>37</v>
      </c>
      <c r="D1943" s="357">
        <v>144044.04999999999</v>
      </c>
      <c r="E1943" s="690" t="s">
        <v>620</v>
      </c>
      <c r="F1943" s="361" t="s">
        <v>614</v>
      </c>
      <c r="G1943" s="357">
        <f>122071.23*1.18</f>
        <v>144044.0514</v>
      </c>
      <c r="H1943" s="360">
        <v>42429</v>
      </c>
      <c r="I1943" s="360">
        <v>42495</v>
      </c>
      <c r="J1943" s="361">
        <v>144044.04999999999</v>
      </c>
      <c r="K1943" s="361">
        <v>144044.04999999999</v>
      </c>
      <c r="L1943" s="360"/>
      <c r="M1943" s="361"/>
      <c r="N1943" s="539"/>
      <c r="O1943" s="466" t="s">
        <v>734</v>
      </c>
      <c r="P1943" s="176"/>
      <c r="Q1943" s="497"/>
      <c r="R1943" s="496"/>
      <c r="S1943" s="2"/>
      <c r="T1943" s="2"/>
      <c r="U1943" s="2"/>
      <c r="V1943" s="2"/>
    </row>
    <row r="1944" spans="1:22" s="11" customFormat="1" ht="33" outlineLevel="1" x14ac:dyDescent="0.25">
      <c r="A1944" s="1065"/>
      <c r="B1944" s="1064"/>
      <c r="C1944" s="549" t="s">
        <v>1095</v>
      </c>
      <c r="D1944" s="169">
        <v>70511.953359173</v>
      </c>
      <c r="E1944" s="942"/>
      <c r="F1944" s="943"/>
      <c r="G1944" s="169"/>
      <c r="H1944" s="941"/>
      <c r="I1944" s="941"/>
      <c r="J1944" s="943"/>
      <c r="K1944" s="943"/>
      <c r="L1944" s="941"/>
      <c r="M1944" s="943"/>
      <c r="N1944" s="915"/>
      <c r="O1944" s="287"/>
      <c r="P1944" s="176"/>
      <c r="Q1944" s="446"/>
      <c r="R1944" s="335"/>
      <c r="S1944" s="2"/>
      <c r="T1944" s="2"/>
      <c r="U1944" s="2"/>
      <c r="V1944" s="2"/>
    </row>
    <row r="1945" spans="1:22" s="8" customFormat="1" ht="17.25" thickBot="1" x14ac:dyDescent="0.3">
      <c r="A1945" s="1066" t="s">
        <v>628</v>
      </c>
      <c r="B1945" s="1066"/>
      <c r="C1945" s="342"/>
      <c r="D1945" s="945">
        <f>SUM(D1942:D1944)</f>
        <v>8130886.9033591729</v>
      </c>
      <c r="E1945" s="942"/>
      <c r="F1945" s="943"/>
      <c r="G1945" s="945">
        <f>SUM(G1942:G1943)</f>
        <v>8060374.9514000006</v>
      </c>
      <c r="H1945" s="941"/>
      <c r="I1945" s="172"/>
      <c r="J1945" s="952">
        <f>SUM(J1942:J1943)</f>
        <v>7546443.6499999994</v>
      </c>
      <c r="K1945" s="945">
        <f>SUM(K1942:K1943)</f>
        <v>7546443.6499999994</v>
      </c>
      <c r="L1945" s="340"/>
      <c r="M1945" s="945"/>
      <c r="N1945" s="878">
        <f>AVERAGE(N1942:N1943)</f>
        <v>1</v>
      </c>
      <c r="O1945" s="707"/>
      <c r="P1945" s="176"/>
      <c r="Q1945" s="497"/>
      <c r="R1945" s="496"/>
      <c r="S1945" s="2"/>
      <c r="T1945" s="2"/>
      <c r="U1945" s="2"/>
      <c r="V1945" s="2"/>
    </row>
    <row r="1946" spans="1:22" s="6" customFormat="1" ht="33" x14ac:dyDescent="0.25">
      <c r="A1946" s="1065">
        <v>49</v>
      </c>
      <c r="B1946" s="1064" t="s">
        <v>407</v>
      </c>
      <c r="C1946" s="281" t="s">
        <v>500</v>
      </c>
      <c r="D1946" s="208">
        <v>13515455.68</v>
      </c>
      <c r="E1946" s="948" t="s">
        <v>1084</v>
      </c>
      <c r="F1946" s="947" t="s">
        <v>882</v>
      </c>
      <c r="G1946" s="208">
        <v>13515455.68</v>
      </c>
      <c r="H1946" s="950">
        <v>42658</v>
      </c>
      <c r="I1946" s="950">
        <v>42688</v>
      </c>
      <c r="J1946" s="947">
        <v>12775477.68</v>
      </c>
      <c r="K1946" s="947">
        <v>12775477.68</v>
      </c>
      <c r="L1946" s="950">
        <v>42726</v>
      </c>
      <c r="M1946" s="255"/>
      <c r="N1946" s="909">
        <v>1</v>
      </c>
      <c r="O1946" s="699"/>
      <c r="P1946" s="176"/>
      <c r="Q1946" s="201" t="s">
        <v>1115</v>
      </c>
      <c r="R1946" s="620"/>
      <c r="S1946" s="9"/>
      <c r="T1946" s="9"/>
      <c r="U1946" s="9"/>
      <c r="V1946" s="9"/>
    </row>
    <row r="1947" spans="1:22" s="8" customFormat="1" ht="49.5" x14ac:dyDescent="0.25">
      <c r="A1947" s="1065"/>
      <c r="B1947" s="1064"/>
      <c r="C1947" s="356" t="s">
        <v>37</v>
      </c>
      <c r="D1947" s="357">
        <v>129372.07</v>
      </c>
      <c r="E1947" s="690" t="s">
        <v>620</v>
      </c>
      <c r="F1947" s="361" t="s">
        <v>614</v>
      </c>
      <c r="G1947" s="357">
        <f>109637.35*1.18</f>
        <v>129372.073</v>
      </c>
      <c r="H1947" s="360">
        <v>42429</v>
      </c>
      <c r="I1947" s="360">
        <v>42495</v>
      </c>
      <c r="J1947" s="361">
        <v>129372.07</v>
      </c>
      <c r="K1947" s="361">
        <v>129372.07</v>
      </c>
      <c r="L1947" s="360"/>
      <c r="M1947" s="361"/>
      <c r="N1947" s="539"/>
      <c r="O1947" s="466" t="s">
        <v>734</v>
      </c>
      <c r="P1947" s="176"/>
      <c r="Q1947" s="497"/>
      <c r="R1947" s="496"/>
      <c r="S1947" s="2"/>
      <c r="T1947" s="2"/>
      <c r="U1947" s="2"/>
      <c r="V1947" s="2"/>
    </row>
    <row r="1948" spans="1:22" s="11" customFormat="1" ht="33" outlineLevel="1" x14ac:dyDescent="0.25">
      <c r="A1948" s="1065"/>
      <c r="B1948" s="1064"/>
      <c r="C1948" s="549" t="s">
        <v>1095</v>
      </c>
      <c r="D1948" s="169">
        <v>138369.03499369501</v>
      </c>
      <c r="E1948" s="942"/>
      <c r="F1948" s="943"/>
      <c r="G1948" s="169"/>
      <c r="H1948" s="941"/>
      <c r="I1948" s="941"/>
      <c r="J1948" s="943"/>
      <c r="K1948" s="943"/>
      <c r="L1948" s="941"/>
      <c r="M1948" s="943"/>
      <c r="N1948" s="915"/>
      <c r="O1948" s="287"/>
      <c r="P1948" s="176"/>
      <c r="Q1948" s="446"/>
      <c r="R1948" s="335"/>
      <c r="S1948" s="2"/>
      <c r="T1948" s="2"/>
      <c r="U1948" s="2"/>
      <c r="V1948" s="2"/>
    </row>
    <row r="1949" spans="1:22" s="8" customFormat="1" ht="17.25" thickBot="1" x14ac:dyDescent="0.3">
      <c r="A1949" s="1066" t="s">
        <v>628</v>
      </c>
      <c r="B1949" s="1066"/>
      <c r="C1949" s="342"/>
      <c r="D1949" s="945">
        <f>SUM(D1946:D1948)</f>
        <v>13783196.784993695</v>
      </c>
      <c r="E1949" s="942"/>
      <c r="F1949" s="943"/>
      <c r="G1949" s="945">
        <f>SUM(G1946:G1947)</f>
        <v>13644827.753</v>
      </c>
      <c r="H1949" s="941"/>
      <c r="I1949" s="172"/>
      <c r="J1949" s="952">
        <f>SUM(J1946:J1947)</f>
        <v>12904849.75</v>
      </c>
      <c r="K1949" s="945">
        <f>SUM(K1946:K1947)</f>
        <v>12904849.75</v>
      </c>
      <c r="L1949" s="340"/>
      <c r="M1949" s="945"/>
      <c r="N1949" s="878">
        <f>AVERAGE(N1946:N1947)</f>
        <v>1</v>
      </c>
      <c r="O1949" s="694"/>
      <c r="P1949" s="176"/>
      <c r="Q1949" s="497"/>
      <c r="R1949" s="496"/>
      <c r="S1949" s="2"/>
      <c r="T1949" s="2"/>
      <c r="U1949" s="2"/>
      <c r="V1949" s="2"/>
    </row>
    <row r="1950" spans="1:22" s="6" customFormat="1" ht="33" x14ac:dyDescent="0.25">
      <c r="A1950" s="1065">
        <v>50</v>
      </c>
      <c r="B1950" s="1064" t="s">
        <v>408</v>
      </c>
      <c r="C1950" s="281" t="s">
        <v>500</v>
      </c>
      <c r="D1950" s="208">
        <v>3713609.86</v>
      </c>
      <c r="E1950" s="948" t="s">
        <v>1045</v>
      </c>
      <c r="F1950" s="947" t="s">
        <v>670</v>
      </c>
      <c r="G1950" s="208">
        <v>3713609.86</v>
      </c>
      <c r="H1950" s="950">
        <v>42638</v>
      </c>
      <c r="I1950" s="950">
        <v>42705</v>
      </c>
      <c r="J1950" s="947">
        <v>3479277.2</v>
      </c>
      <c r="K1950" s="947">
        <v>3479277.2</v>
      </c>
      <c r="L1950" s="950">
        <v>42723</v>
      </c>
      <c r="M1950" s="255"/>
      <c r="N1950" s="909">
        <v>1</v>
      </c>
      <c r="O1950" s="699"/>
      <c r="P1950" s="176"/>
      <c r="Q1950" s="201" t="s">
        <v>1114</v>
      </c>
      <c r="R1950" s="620"/>
      <c r="S1950" s="9"/>
      <c r="T1950" s="9"/>
      <c r="U1950" s="9"/>
      <c r="V1950" s="9"/>
    </row>
    <row r="1951" spans="1:22" s="8" customFormat="1" ht="49.5" x14ac:dyDescent="0.25">
      <c r="A1951" s="1065"/>
      <c r="B1951" s="1064"/>
      <c r="C1951" s="356" t="s">
        <v>37</v>
      </c>
      <c r="D1951" s="357">
        <v>103496.17</v>
      </c>
      <c r="E1951" s="690" t="s">
        <v>620</v>
      </c>
      <c r="F1951" s="361" t="s">
        <v>614</v>
      </c>
      <c r="G1951" s="357">
        <f>87708.62*1.18</f>
        <v>103496.17159999999</v>
      </c>
      <c r="H1951" s="360">
        <v>42429</v>
      </c>
      <c r="I1951" s="360">
        <v>42495</v>
      </c>
      <c r="J1951" s="361">
        <v>103496.18</v>
      </c>
      <c r="K1951" s="361">
        <v>103496.18</v>
      </c>
      <c r="L1951" s="360"/>
      <c r="M1951" s="361"/>
      <c r="N1951" s="539"/>
      <c r="O1951" s="466" t="s">
        <v>725</v>
      </c>
      <c r="P1951" s="176"/>
      <c r="Q1951" s="497"/>
      <c r="R1951" s="496"/>
      <c r="S1951" s="2"/>
      <c r="T1951" s="2"/>
      <c r="U1951" s="2"/>
      <c r="V1951" s="2"/>
    </row>
    <row r="1952" spans="1:22" s="11" customFormat="1" ht="33" outlineLevel="1" x14ac:dyDescent="0.25">
      <c r="A1952" s="1065"/>
      <c r="B1952" s="1064"/>
      <c r="C1952" s="549" t="s">
        <v>1095</v>
      </c>
      <c r="D1952" s="169">
        <v>46569.957909258803</v>
      </c>
      <c r="E1952" s="942"/>
      <c r="F1952" s="943"/>
      <c r="G1952" s="169"/>
      <c r="H1952" s="941"/>
      <c r="I1952" s="941"/>
      <c r="J1952" s="943"/>
      <c r="K1952" s="943"/>
      <c r="L1952" s="941"/>
      <c r="M1952" s="943"/>
      <c r="N1952" s="915"/>
      <c r="O1952" s="287"/>
      <c r="P1952" s="176"/>
      <c r="Q1952" s="446"/>
      <c r="R1952" s="335"/>
      <c r="S1952" s="2"/>
      <c r="T1952" s="2"/>
      <c r="U1952" s="2"/>
      <c r="V1952" s="2"/>
    </row>
    <row r="1953" spans="1:22" s="8" customFormat="1" ht="17.25" thickBot="1" x14ac:dyDescent="0.3">
      <c r="A1953" s="1066" t="s">
        <v>628</v>
      </c>
      <c r="B1953" s="1066"/>
      <c r="C1953" s="342"/>
      <c r="D1953" s="945">
        <f>SUM(D1950:D1952)</f>
        <v>3863675.9879092588</v>
      </c>
      <c r="E1953" s="942"/>
      <c r="F1953" s="943"/>
      <c r="G1953" s="945">
        <f>SUM(G1950:G1951)</f>
        <v>3817106.0315999999</v>
      </c>
      <c r="H1953" s="941"/>
      <c r="I1953" s="172"/>
      <c r="J1953" s="952">
        <f>SUM(J1950:J1951)</f>
        <v>3582773.3800000004</v>
      </c>
      <c r="K1953" s="945">
        <f>SUM(K1950:K1951)</f>
        <v>3582773.3800000004</v>
      </c>
      <c r="L1953" s="340"/>
      <c r="M1953" s="945"/>
      <c r="N1953" s="878">
        <f>AVERAGE(N1950:N1951)</f>
        <v>1</v>
      </c>
      <c r="O1953" s="694"/>
      <c r="P1953" s="176"/>
      <c r="Q1953" s="497"/>
      <c r="R1953" s="496"/>
      <c r="S1953" s="2"/>
      <c r="T1953" s="2"/>
      <c r="U1953" s="2"/>
      <c r="V1953" s="2"/>
    </row>
    <row r="1954" spans="1:22" s="6" customFormat="1" ht="49.5" x14ac:dyDescent="0.25">
      <c r="A1954" s="1065">
        <v>51</v>
      </c>
      <c r="B1954" s="1064" t="s">
        <v>409</v>
      </c>
      <c r="C1954" s="281" t="s">
        <v>500</v>
      </c>
      <c r="D1954" s="208">
        <v>4850218.9000000004</v>
      </c>
      <c r="E1954" s="948" t="s">
        <v>1088</v>
      </c>
      <c r="F1954" s="947" t="s">
        <v>670</v>
      </c>
      <c r="G1954" s="208">
        <v>4850218.9000000004</v>
      </c>
      <c r="H1954" s="950">
        <v>42674</v>
      </c>
      <c r="I1954" s="950">
        <v>42730</v>
      </c>
      <c r="J1954" s="947">
        <v>4706578.68</v>
      </c>
      <c r="K1954" s="947">
        <v>4706578.68</v>
      </c>
      <c r="L1954" s="950">
        <v>42762</v>
      </c>
      <c r="M1954" s="255"/>
      <c r="N1954" s="914">
        <v>0</v>
      </c>
      <c r="O1954" s="699"/>
      <c r="P1954" s="176"/>
      <c r="Q1954" s="201" t="s">
        <v>1120</v>
      </c>
      <c r="R1954" s="620"/>
      <c r="S1954" s="9"/>
      <c r="T1954" s="9"/>
      <c r="U1954" s="9"/>
      <c r="V1954" s="9"/>
    </row>
    <row r="1955" spans="1:22" s="8" customFormat="1" ht="49.5" x14ac:dyDescent="0.25">
      <c r="A1955" s="1065"/>
      <c r="B1955" s="1064"/>
      <c r="C1955" s="356" t="s">
        <v>37</v>
      </c>
      <c r="D1955" s="357">
        <v>79184.36</v>
      </c>
      <c r="E1955" s="690" t="s">
        <v>615</v>
      </c>
      <c r="F1955" s="361" t="s">
        <v>614</v>
      </c>
      <c r="G1955" s="357">
        <f>67105.39*1.18</f>
        <v>79184.360199999996</v>
      </c>
      <c r="H1955" s="360">
        <v>42420</v>
      </c>
      <c r="I1955" s="360">
        <v>42605</v>
      </c>
      <c r="J1955" s="361">
        <v>67105.39</v>
      </c>
      <c r="K1955" s="361">
        <v>67105.39</v>
      </c>
      <c r="L1955" s="360"/>
      <c r="M1955" s="361"/>
      <c r="N1955" s="539"/>
      <c r="O1955" s="466" t="s">
        <v>734</v>
      </c>
      <c r="P1955" s="176"/>
      <c r="Q1955" s="497"/>
      <c r="R1955" s="496"/>
      <c r="S1955" s="2"/>
      <c r="T1955" s="2"/>
      <c r="U1955" s="2"/>
      <c r="V1955" s="2"/>
    </row>
    <row r="1956" spans="1:22" s="11" customFormat="1" ht="33" outlineLevel="1" x14ac:dyDescent="0.25">
      <c r="A1956" s="1065"/>
      <c r="B1956" s="1064"/>
      <c r="C1956" s="549" t="s">
        <v>1095</v>
      </c>
      <c r="D1956" s="169">
        <v>30848.100015944201</v>
      </c>
      <c r="E1956" s="942"/>
      <c r="F1956" s="943"/>
      <c r="G1956" s="169"/>
      <c r="H1956" s="941"/>
      <c r="I1956" s="941"/>
      <c r="J1956" s="943"/>
      <c r="K1956" s="943"/>
      <c r="L1956" s="941"/>
      <c r="M1956" s="943"/>
      <c r="N1956" s="915"/>
      <c r="O1956" s="287"/>
      <c r="P1956" s="176"/>
      <c r="Q1956" s="446"/>
      <c r="R1956" s="335"/>
      <c r="S1956" s="2"/>
      <c r="T1956" s="2"/>
      <c r="U1956" s="2"/>
      <c r="V1956" s="2"/>
    </row>
    <row r="1957" spans="1:22" s="8" customFormat="1" ht="17.25" thickBot="1" x14ac:dyDescent="0.3">
      <c r="A1957" s="1066" t="s">
        <v>628</v>
      </c>
      <c r="B1957" s="1066"/>
      <c r="C1957" s="342"/>
      <c r="D1957" s="945">
        <f>SUM(D1954:D1956)</f>
        <v>4960251.3600159446</v>
      </c>
      <c r="E1957" s="942"/>
      <c r="F1957" s="943"/>
      <c r="G1957" s="945">
        <f>SUM(G1954:G1955)</f>
        <v>4929403.2602000004</v>
      </c>
      <c r="H1957" s="941"/>
      <c r="I1957" s="172"/>
      <c r="J1957" s="952">
        <f>SUM(J1954:J1955)</f>
        <v>4773684.0699999994</v>
      </c>
      <c r="K1957" s="945">
        <f>SUM(K1954:K1955)</f>
        <v>4773684.0699999994</v>
      </c>
      <c r="L1957" s="340"/>
      <c r="M1957" s="945"/>
      <c r="N1957" s="878">
        <f>AVERAGE(N1954:N1955)</f>
        <v>0</v>
      </c>
      <c r="O1957" s="694"/>
      <c r="P1957" s="176"/>
      <c r="Q1957" s="497"/>
      <c r="R1957" s="496"/>
      <c r="S1957" s="2"/>
      <c r="T1957" s="2"/>
      <c r="U1957" s="2"/>
      <c r="V1957" s="2"/>
    </row>
    <row r="1958" spans="1:22" s="6" customFormat="1" ht="33" x14ac:dyDescent="0.25">
      <c r="A1958" s="1065">
        <v>52</v>
      </c>
      <c r="B1958" s="1064" t="s">
        <v>410</v>
      </c>
      <c r="C1958" s="281" t="s">
        <v>500</v>
      </c>
      <c r="D1958" s="208">
        <v>7110947.8600000003</v>
      </c>
      <c r="E1958" s="948" t="s">
        <v>783</v>
      </c>
      <c r="F1958" s="947" t="s">
        <v>780</v>
      </c>
      <c r="G1958" s="208">
        <v>7160000</v>
      </c>
      <c r="H1958" s="950">
        <v>42531</v>
      </c>
      <c r="I1958" s="950">
        <v>42535</v>
      </c>
      <c r="J1958" s="947">
        <v>7110947.8600000003</v>
      </c>
      <c r="K1958" s="947">
        <v>7110947.8600000003</v>
      </c>
      <c r="L1958" s="950"/>
      <c r="M1958" s="947">
        <f>J1958-D1958</f>
        <v>0</v>
      </c>
      <c r="N1958" s="909">
        <v>1</v>
      </c>
      <c r="O1958" s="906"/>
      <c r="P1958" s="176"/>
      <c r="Q1958" s="497"/>
      <c r="R1958" s="620"/>
      <c r="S1958" s="9"/>
      <c r="T1958" s="9"/>
      <c r="U1958" s="9"/>
      <c r="V1958" s="9"/>
    </row>
    <row r="1959" spans="1:22" s="8" customFormat="1" ht="49.5" x14ac:dyDescent="0.25">
      <c r="A1959" s="1065"/>
      <c r="B1959" s="1064"/>
      <c r="C1959" s="356" t="s">
        <v>37</v>
      </c>
      <c r="D1959" s="357">
        <v>97329.48</v>
      </c>
      <c r="E1959" s="690" t="s">
        <v>615</v>
      </c>
      <c r="F1959" s="361" t="s">
        <v>614</v>
      </c>
      <c r="G1959" s="357">
        <f>82482.61*1.18</f>
        <v>97329.479800000001</v>
      </c>
      <c r="H1959" s="360">
        <v>42420</v>
      </c>
      <c r="I1959" s="360">
        <v>42431</v>
      </c>
      <c r="J1959" s="361">
        <v>82482.61</v>
      </c>
      <c r="K1959" s="361">
        <v>82482.61</v>
      </c>
      <c r="L1959" s="360"/>
      <c r="M1959" s="361"/>
      <c r="N1959" s="539"/>
      <c r="O1959" s="466" t="s">
        <v>734</v>
      </c>
      <c r="P1959" s="176"/>
      <c r="Q1959" s="497"/>
      <c r="R1959" s="496"/>
      <c r="S1959" s="2"/>
      <c r="T1959" s="2"/>
      <c r="U1959" s="2"/>
      <c r="V1959" s="2"/>
    </row>
    <row r="1960" spans="1:22" s="8" customFormat="1" ht="17.25" thickBot="1" x14ac:dyDescent="0.3">
      <c r="A1960" s="1066" t="s">
        <v>628</v>
      </c>
      <c r="B1960" s="1066"/>
      <c r="C1960" s="342"/>
      <c r="D1960" s="945">
        <f>SUM(D1958:D1959)</f>
        <v>7208277.3400000008</v>
      </c>
      <c r="E1960" s="942"/>
      <c r="F1960" s="943"/>
      <c r="G1960" s="945">
        <f>SUM(G1958:G1959)</f>
        <v>7257329.4797999999</v>
      </c>
      <c r="H1960" s="941"/>
      <c r="I1960" s="172"/>
      <c r="J1960" s="952">
        <f t="shared" ref="J1960" si="141">SUM(J1958:J1959)</f>
        <v>7193430.4700000007</v>
      </c>
      <c r="K1960" s="945">
        <f>SUM(K1958:K1959)</f>
        <v>7193430.4700000007</v>
      </c>
      <c r="L1960" s="340"/>
      <c r="M1960" s="945"/>
      <c r="N1960" s="878">
        <f>AVERAGE(N1958:N1959)</f>
        <v>1</v>
      </c>
      <c r="O1960" s="694"/>
      <c r="P1960" s="176"/>
      <c r="Q1960" s="497"/>
      <c r="R1960" s="496"/>
      <c r="S1960" s="2"/>
      <c r="T1960" s="2"/>
      <c r="U1960" s="2"/>
      <c r="V1960" s="2"/>
    </row>
    <row r="1961" spans="1:22" s="6" customFormat="1" ht="33" x14ac:dyDescent="0.25">
      <c r="A1961" s="1065">
        <v>53</v>
      </c>
      <c r="B1961" s="1064" t="s">
        <v>411</v>
      </c>
      <c r="C1961" s="281" t="s">
        <v>500</v>
      </c>
      <c r="D1961" s="208">
        <v>7099216.2999999998</v>
      </c>
      <c r="E1961" s="948" t="s">
        <v>779</v>
      </c>
      <c r="F1961" s="947" t="s">
        <v>780</v>
      </c>
      <c r="G1961" s="208">
        <v>7180000</v>
      </c>
      <c r="H1961" s="950">
        <v>42531</v>
      </c>
      <c r="I1961" s="950">
        <v>42535</v>
      </c>
      <c r="J1961" s="947">
        <v>7099216.2999999998</v>
      </c>
      <c r="K1961" s="947">
        <v>7099216.2999999998</v>
      </c>
      <c r="L1961" s="950"/>
      <c r="M1961" s="947">
        <f>J1961-D1961</f>
        <v>0</v>
      </c>
      <c r="N1961" s="909">
        <v>1</v>
      </c>
      <c r="O1961" s="906"/>
      <c r="P1961" s="176"/>
      <c r="Q1961" s="497"/>
      <c r="R1961" s="620"/>
      <c r="S1961" s="9"/>
      <c r="T1961" s="9"/>
      <c r="U1961" s="9"/>
      <c r="V1961" s="9"/>
    </row>
    <row r="1962" spans="1:22" s="8" customFormat="1" ht="49.5" x14ac:dyDescent="0.25">
      <c r="A1962" s="1065"/>
      <c r="B1962" s="1064"/>
      <c r="C1962" s="356" t="s">
        <v>37</v>
      </c>
      <c r="D1962" s="357">
        <v>97294.720000000001</v>
      </c>
      <c r="E1962" s="690" t="s">
        <v>615</v>
      </c>
      <c r="F1962" s="361" t="s">
        <v>614</v>
      </c>
      <c r="G1962" s="357">
        <f>82453.15*1.18</f>
        <v>97294.71699999999</v>
      </c>
      <c r="H1962" s="360">
        <v>42420</v>
      </c>
      <c r="I1962" s="360">
        <v>42431</v>
      </c>
      <c r="J1962" s="361">
        <v>82453.149999999994</v>
      </c>
      <c r="K1962" s="361">
        <v>82453.149999999994</v>
      </c>
      <c r="L1962" s="360"/>
      <c r="M1962" s="361"/>
      <c r="N1962" s="539"/>
      <c r="O1962" s="466" t="s">
        <v>734</v>
      </c>
      <c r="P1962" s="176"/>
      <c r="Q1962" s="497"/>
      <c r="R1962" s="496"/>
      <c r="S1962" s="2"/>
      <c r="T1962" s="2"/>
      <c r="U1962" s="2"/>
      <c r="V1962" s="2"/>
    </row>
    <row r="1963" spans="1:22" s="8" customFormat="1" ht="17.25" thickBot="1" x14ac:dyDescent="0.3">
      <c r="A1963" s="1066" t="s">
        <v>628</v>
      </c>
      <c r="B1963" s="1066"/>
      <c r="C1963" s="342"/>
      <c r="D1963" s="945">
        <f>SUM(D1961:D1962)</f>
        <v>7196511.0199999996</v>
      </c>
      <c r="E1963" s="942"/>
      <c r="F1963" s="943"/>
      <c r="G1963" s="945">
        <f>SUM(G1961:G1962)</f>
        <v>7277294.7170000002</v>
      </c>
      <c r="H1963" s="941"/>
      <c r="I1963" s="172"/>
      <c r="J1963" s="952">
        <f t="shared" ref="J1963" si="142">SUM(J1961:J1962)</f>
        <v>7181669.4500000002</v>
      </c>
      <c r="K1963" s="945">
        <f>SUM(K1961:K1962)</f>
        <v>7181669.4500000002</v>
      </c>
      <c r="L1963" s="340"/>
      <c r="M1963" s="945"/>
      <c r="N1963" s="878">
        <f>AVERAGE(N1961:N1962)</f>
        <v>1</v>
      </c>
      <c r="O1963" s="707"/>
      <c r="P1963" s="176"/>
      <c r="Q1963" s="497"/>
      <c r="R1963" s="496"/>
      <c r="S1963" s="2"/>
      <c r="T1963" s="2"/>
      <c r="U1963" s="2"/>
      <c r="V1963" s="2"/>
    </row>
    <row r="1964" spans="1:22" s="76" customFormat="1" ht="33" x14ac:dyDescent="0.25">
      <c r="A1964" s="1065">
        <v>54</v>
      </c>
      <c r="B1964" s="1064" t="s">
        <v>412</v>
      </c>
      <c r="C1964" s="281" t="s">
        <v>500</v>
      </c>
      <c r="D1964" s="208">
        <v>12280480.220000001</v>
      </c>
      <c r="E1964" s="948" t="s">
        <v>1043</v>
      </c>
      <c r="F1964" s="947" t="s">
        <v>1044</v>
      </c>
      <c r="G1964" s="208">
        <v>11280480.220000001</v>
      </c>
      <c r="H1964" s="950">
        <v>42628</v>
      </c>
      <c r="I1964" s="950">
        <v>42654</v>
      </c>
      <c r="J1964" s="947">
        <v>8322866.9500000002</v>
      </c>
      <c r="K1964" s="947">
        <v>8322866.9500000002</v>
      </c>
      <c r="L1964" s="950">
        <v>42753</v>
      </c>
      <c r="M1964" s="255"/>
      <c r="N1964" s="909">
        <v>1</v>
      </c>
      <c r="O1964" s="718"/>
      <c r="P1964" s="457"/>
      <c r="Q1964" s="458" t="s">
        <v>1114</v>
      </c>
      <c r="R1964" s="623"/>
      <c r="S1964" s="72"/>
      <c r="T1964" s="72"/>
      <c r="U1964" s="72"/>
      <c r="V1964" s="72"/>
    </row>
    <row r="1965" spans="1:22" s="8" customFormat="1" ht="49.5" x14ac:dyDescent="0.25">
      <c r="A1965" s="1065"/>
      <c r="B1965" s="1064"/>
      <c r="C1965" s="356" t="s">
        <v>37</v>
      </c>
      <c r="D1965" s="357">
        <v>112904.69</v>
      </c>
      <c r="E1965" s="690" t="s">
        <v>615</v>
      </c>
      <c r="F1965" s="361" t="s">
        <v>614</v>
      </c>
      <c r="G1965" s="357">
        <f>95681.94*1.18</f>
        <v>112904.68919999999</v>
      </c>
      <c r="H1965" s="360">
        <v>42420</v>
      </c>
      <c r="I1965" s="360">
        <v>42552</v>
      </c>
      <c r="J1965" s="361">
        <v>95681.94</v>
      </c>
      <c r="K1965" s="361">
        <v>95681.94</v>
      </c>
      <c r="L1965" s="360"/>
      <c r="M1965" s="361"/>
      <c r="N1965" s="539"/>
      <c r="O1965" s="466" t="s">
        <v>688</v>
      </c>
      <c r="P1965" s="176"/>
      <c r="Q1965" s="497"/>
      <c r="R1965" s="496"/>
      <c r="S1965" s="2"/>
      <c r="T1965" s="2"/>
      <c r="U1965" s="2"/>
      <c r="V1965" s="2"/>
    </row>
    <row r="1966" spans="1:22" s="11" customFormat="1" ht="33" outlineLevel="1" x14ac:dyDescent="0.25">
      <c r="A1966" s="1065"/>
      <c r="B1966" s="1064"/>
      <c r="C1966" s="549" t="s">
        <v>1095</v>
      </c>
      <c r="D1966" s="169">
        <v>138247.11364466199</v>
      </c>
      <c r="E1966" s="942"/>
      <c r="F1966" s="943"/>
      <c r="G1966" s="169"/>
      <c r="H1966" s="941"/>
      <c r="I1966" s="941"/>
      <c r="J1966" s="943"/>
      <c r="K1966" s="943"/>
      <c r="L1966" s="941"/>
      <c r="M1966" s="943"/>
      <c r="N1966" s="915"/>
      <c r="O1966" s="287"/>
      <c r="P1966" s="176"/>
      <c r="Q1966" s="446"/>
      <c r="R1966" s="335"/>
      <c r="S1966" s="2"/>
      <c r="T1966" s="2"/>
      <c r="U1966" s="2"/>
      <c r="V1966" s="2"/>
    </row>
    <row r="1967" spans="1:22" s="8" customFormat="1" ht="17.25" thickBot="1" x14ac:dyDescent="0.3">
      <c r="A1967" s="1066" t="s">
        <v>628</v>
      </c>
      <c r="B1967" s="1066"/>
      <c r="C1967" s="342"/>
      <c r="D1967" s="945">
        <f>SUM(D1964:D1966)</f>
        <v>12531632.023644662</v>
      </c>
      <c r="E1967" s="942"/>
      <c r="F1967" s="943"/>
      <c r="G1967" s="945">
        <f>SUM(G1964:G1965)</f>
        <v>11393384.909200002</v>
      </c>
      <c r="H1967" s="941"/>
      <c r="I1967" s="172"/>
      <c r="J1967" s="952">
        <f>SUM(J1964:J1965)</f>
        <v>8418548.8900000006</v>
      </c>
      <c r="K1967" s="945">
        <f>SUM(K1964:K1965)</f>
        <v>8418548.8900000006</v>
      </c>
      <c r="L1967" s="340"/>
      <c r="M1967" s="945"/>
      <c r="N1967" s="878">
        <f>AVERAGE(N1964:N1965)</f>
        <v>1</v>
      </c>
      <c r="O1967" s="694"/>
      <c r="P1967" s="176"/>
      <c r="Q1967" s="497"/>
      <c r="R1967" s="496"/>
      <c r="S1967" s="2"/>
      <c r="T1967" s="2"/>
      <c r="U1967" s="2"/>
      <c r="V1967" s="2"/>
    </row>
    <row r="1968" spans="1:22" s="6" customFormat="1" ht="33" x14ac:dyDescent="0.25">
      <c r="A1968" s="1065">
        <v>55</v>
      </c>
      <c r="B1968" s="1064" t="s">
        <v>413</v>
      </c>
      <c r="C1968" s="281" t="s">
        <v>500</v>
      </c>
      <c r="D1968" s="208">
        <v>10293940.039999999</v>
      </c>
      <c r="E1968" s="948" t="s">
        <v>817</v>
      </c>
      <c r="F1968" s="947" t="s">
        <v>816</v>
      </c>
      <c r="G1968" s="208">
        <v>10506661</v>
      </c>
      <c r="H1968" s="950">
        <v>42531</v>
      </c>
      <c r="I1968" s="950">
        <v>42569</v>
      </c>
      <c r="J1968" s="947">
        <v>10293940.039999999</v>
      </c>
      <c r="K1968" s="947">
        <v>10293940.039999999</v>
      </c>
      <c r="L1968" s="254"/>
      <c r="M1968" s="255"/>
      <c r="N1968" s="909">
        <v>1</v>
      </c>
      <c r="O1968" s="699"/>
      <c r="P1968" s="176"/>
      <c r="Q1968" s="497"/>
      <c r="R1968" s="620"/>
      <c r="S1968" s="9"/>
      <c r="T1968" s="9"/>
      <c r="U1968" s="9"/>
      <c r="V1968" s="9"/>
    </row>
    <row r="1969" spans="1:22" s="8" customFormat="1" ht="49.5" x14ac:dyDescent="0.25">
      <c r="A1969" s="1065"/>
      <c r="B1969" s="1064"/>
      <c r="C1969" s="356" t="s">
        <v>37</v>
      </c>
      <c r="D1969" s="357">
        <v>107406</v>
      </c>
      <c r="E1969" s="690" t="s">
        <v>615</v>
      </c>
      <c r="F1969" s="361" t="s">
        <v>614</v>
      </c>
      <c r="G1969" s="357">
        <f>91022.03*1.18</f>
        <v>107405.9954</v>
      </c>
      <c r="H1969" s="360">
        <v>42420</v>
      </c>
      <c r="I1969" s="360">
        <v>42438</v>
      </c>
      <c r="J1969" s="361">
        <v>91022.03</v>
      </c>
      <c r="K1969" s="361">
        <v>91022.03</v>
      </c>
      <c r="L1969" s="360"/>
      <c r="M1969" s="361"/>
      <c r="N1969" s="539"/>
      <c r="O1969" s="466" t="s">
        <v>734</v>
      </c>
      <c r="P1969" s="176"/>
      <c r="Q1969" s="497"/>
      <c r="R1969" s="496"/>
      <c r="S1969" s="2"/>
      <c r="T1969" s="2"/>
      <c r="U1969" s="2"/>
      <c r="V1969" s="2"/>
    </row>
    <row r="1970" spans="1:22" s="8" customFormat="1" ht="17.25" thickBot="1" x14ac:dyDescent="0.3">
      <c r="A1970" s="1066" t="s">
        <v>628</v>
      </c>
      <c r="B1970" s="1066"/>
      <c r="C1970" s="342"/>
      <c r="D1970" s="945">
        <f>SUM(D1968:D1969)</f>
        <v>10401346.039999999</v>
      </c>
      <c r="E1970" s="942"/>
      <c r="F1970" s="943"/>
      <c r="G1970" s="945">
        <f>SUM(G1968:G1969)</f>
        <v>10614066.9954</v>
      </c>
      <c r="H1970" s="941"/>
      <c r="I1970" s="172"/>
      <c r="J1970" s="952">
        <f>SUM(J1968:J1969)</f>
        <v>10384962.069999998</v>
      </c>
      <c r="K1970" s="945">
        <f>SUM(K1968:K1969)</f>
        <v>10384962.069999998</v>
      </c>
      <c r="L1970" s="340"/>
      <c r="M1970" s="945"/>
      <c r="N1970" s="878">
        <f>AVERAGE(N1968:N1969)</f>
        <v>1</v>
      </c>
      <c r="O1970" s="694"/>
      <c r="P1970" s="176"/>
      <c r="Q1970" s="497"/>
      <c r="R1970" s="496"/>
      <c r="S1970" s="2"/>
      <c r="T1970" s="2"/>
      <c r="U1970" s="2"/>
      <c r="V1970" s="2"/>
    </row>
    <row r="1971" spans="1:22" s="6" customFormat="1" ht="33" x14ac:dyDescent="0.25">
      <c r="A1971" s="1065">
        <v>56</v>
      </c>
      <c r="B1971" s="1064" t="s">
        <v>414</v>
      </c>
      <c r="C1971" s="281" t="s">
        <v>500</v>
      </c>
      <c r="D1971" s="208">
        <v>12528259.42</v>
      </c>
      <c r="E1971" s="948" t="s">
        <v>815</v>
      </c>
      <c r="F1971" s="947" t="s">
        <v>816</v>
      </c>
      <c r="G1971" s="208">
        <v>12552797.52</v>
      </c>
      <c r="H1971" s="950">
        <v>42531</v>
      </c>
      <c r="I1971" s="950">
        <v>42568</v>
      </c>
      <c r="J1971" s="947">
        <v>12528259.42</v>
      </c>
      <c r="K1971" s="947">
        <v>12528259.42</v>
      </c>
      <c r="L1971" s="254"/>
      <c r="M1971" s="255"/>
      <c r="N1971" s="909">
        <v>1</v>
      </c>
      <c r="O1971" s="699"/>
      <c r="P1971" s="176"/>
      <c r="Q1971" s="497"/>
      <c r="R1971" s="620"/>
      <c r="S1971" s="9"/>
      <c r="T1971" s="9"/>
      <c r="U1971" s="9"/>
      <c r="V1971" s="9"/>
    </row>
    <row r="1972" spans="1:22" s="8" customFormat="1" ht="49.5" x14ac:dyDescent="0.25">
      <c r="A1972" s="1065"/>
      <c r="B1972" s="1064"/>
      <c r="C1972" s="356" t="s">
        <v>37</v>
      </c>
      <c r="D1972" s="357">
        <v>107241.37</v>
      </c>
      <c r="E1972" s="690" t="s">
        <v>615</v>
      </c>
      <c r="F1972" s="361" t="s">
        <v>614</v>
      </c>
      <c r="G1972" s="357">
        <f>90882.52*1.18</f>
        <v>107241.37360000001</v>
      </c>
      <c r="H1972" s="360">
        <v>42420</v>
      </c>
      <c r="I1972" s="360">
        <v>42438</v>
      </c>
      <c r="J1972" s="361">
        <v>90882.52</v>
      </c>
      <c r="K1972" s="361">
        <v>90882.52</v>
      </c>
      <c r="L1972" s="360"/>
      <c r="M1972" s="361"/>
      <c r="N1972" s="539"/>
      <c r="O1972" s="466" t="s">
        <v>734</v>
      </c>
      <c r="P1972" s="176"/>
      <c r="Q1972" s="497"/>
      <c r="R1972" s="496"/>
      <c r="S1972" s="2"/>
      <c r="T1972" s="2"/>
      <c r="U1972" s="2"/>
      <c r="V1972" s="2"/>
    </row>
    <row r="1973" spans="1:22" s="8" customFormat="1" ht="17.25" thickBot="1" x14ac:dyDescent="0.3">
      <c r="A1973" s="1066" t="s">
        <v>628</v>
      </c>
      <c r="B1973" s="1066"/>
      <c r="C1973" s="342"/>
      <c r="D1973" s="945">
        <f>SUM(D1971:D1972)</f>
        <v>12635500.789999999</v>
      </c>
      <c r="E1973" s="942"/>
      <c r="F1973" s="943"/>
      <c r="G1973" s="945">
        <f>SUM(G1971:G1972)</f>
        <v>12660038.8936</v>
      </c>
      <c r="H1973" s="941"/>
      <c r="I1973" s="172"/>
      <c r="J1973" s="952">
        <f>SUM(J1971:J1972)</f>
        <v>12619141.939999999</v>
      </c>
      <c r="K1973" s="945">
        <f>SUM(K1971:K1972)</f>
        <v>12619141.939999999</v>
      </c>
      <c r="L1973" s="340"/>
      <c r="M1973" s="945"/>
      <c r="N1973" s="878">
        <f>AVERAGE(N1971:N1972)</f>
        <v>1</v>
      </c>
      <c r="O1973" s="694"/>
      <c r="P1973" s="176"/>
      <c r="Q1973" s="497"/>
      <c r="R1973" s="496"/>
      <c r="S1973" s="2"/>
      <c r="T1973" s="2"/>
      <c r="U1973" s="2"/>
      <c r="V1973" s="2"/>
    </row>
    <row r="1974" spans="1:22" s="6" customFormat="1" ht="33" x14ac:dyDescent="0.25">
      <c r="A1974" s="1065">
        <v>57</v>
      </c>
      <c r="B1974" s="1064" t="s">
        <v>415</v>
      </c>
      <c r="C1974" s="281" t="s">
        <v>500</v>
      </c>
      <c r="D1974" s="208">
        <v>6949988.7800000003</v>
      </c>
      <c r="E1974" s="948" t="s">
        <v>820</v>
      </c>
      <c r="F1974" s="947" t="s">
        <v>816</v>
      </c>
      <c r="G1974" s="208">
        <v>6950000</v>
      </c>
      <c r="H1974" s="950">
        <v>42532</v>
      </c>
      <c r="I1974" s="950">
        <v>42572</v>
      </c>
      <c r="J1974" s="947">
        <v>6949988.7800000003</v>
      </c>
      <c r="K1974" s="947">
        <v>6949988.7800000003</v>
      </c>
      <c r="L1974" s="254"/>
      <c r="M1974" s="255"/>
      <c r="N1974" s="909">
        <v>1</v>
      </c>
      <c r="O1974" s="906"/>
      <c r="P1974" s="176"/>
      <c r="Q1974" s="497"/>
      <c r="R1974" s="620"/>
      <c r="S1974" s="9"/>
      <c r="T1974" s="9"/>
      <c r="U1974" s="9"/>
      <c r="V1974" s="9"/>
    </row>
    <row r="1975" spans="1:22" s="8" customFormat="1" ht="49.5" x14ac:dyDescent="0.25">
      <c r="A1975" s="1065"/>
      <c r="B1975" s="1064"/>
      <c r="C1975" s="356" t="s">
        <v>37</v>
      </c>
      <c r="D1975" s="357">
        <v>91365.38</v>
      </c>
      <c r="E1975" s="690" t="s">
        <v>615</v>
      </c>
      <c r="F1975" s="361" t="s">
        <v>614</v>
      </c>
      <c r="G1975" s="357">
        <f>77428.29*1.18</f>
        <v>91365.382199999993</v>
      </c>
      <c r="H1975" s="360">
        <v>42420</v>
      </c>
      <c r="I1975" s="360">
        <v>42440</v>
      </c>
      <c r="J1975" s="361">
        <v>77428.289999999994</v>
      </c>
      <c r="K1975" s="361">
        <v>77428.289999999994</v>
      </c>
      <c r="L1975" s="360"/>
      <c r="M1975" s="361"/>
      <c r="N1975" s="539"/>
      <c r="O1975" s="466" t="s">
        <v>734</v>
      </c>
      <c r="P1975" s="176"/>
      <c r="Q1975" s="497"/>
      <c r="R1975" s="496"/>
      <c r="S1975" s="2"/>
      <c r="T1975" s="2"/>
      <c r="U1975" s="2"/>
      <c r="V1975" s="2"/>
    </row>
    <row r="1976" spans="1:22" s="8" customFormat="1" ht="17.25" thickBot="1" x14ac:dyDescent="0.3">
      <c r="A1976" s="1066" t="s">
        <v>628</v>
      </c>
      <c r="B1976" s="1066"/>
      <c r="C1976" s="342"/>
      <c r="D1976" s="945">
        <f>SUM(D1974:D1975)</f>
        <v>7041354.1600000001</v>
      </c>
      <c r="E1976" s="942"/>
      <c r="F1976" s="943"/>
      <c r="G1976" s="945">
        <f>SUM(G1974:G1975)</f>
        <v>7041365.3821999999</v>
      </c>
      <c r="H1976" s="941"/>
      <c r="I1976" s="172"/>
      <c r="J1976" s="952">
        <f>SUM(J1974:J1975)</f>
        <v>7027417.0700000003</v>
      </c>
      <c r="K1976" s="945">
        <f>SUM(K1974:K1975)</f>
        <v>7027417.0700000003</v>
      </c>
      <c r="L1976" s="340"/>
      <c r="M1976" s="945"/>
      <c r="N1976" s="878">
        <f>AVERAGE(N1974:N1975)</f>
        <v>1</v>
      </c>
      <c r="O1976" s="694"/>
      <c r="P1976" s="176"/>
      <c r="Q1976" s="497"/>
      <c r="R1976" s="496"/>
      <c r="S1976" s="2"/>
      <c r="T1976" s="2"/>
      <c r="U1976" s="2"/>
      <c r="V1976" s="2"/>
    </row>
    <row r="1977" spans="1:22" s="76" customFormat="1" ht="33" x14ac:dyDescent="0.25">
      <c r="A1977" s="1065">
        <v>58</v>
      </c>
      <c r="B1977" s="1064" t="s">
        <v>416</v>
      </c>
      <c r="C1977" s="281" t="s">
        <v>500</v>
      </c>
      <c r="D1977" s="208">
        <v>11904329.26</v>
      </c>
      <c r="E1977" s="948" t="s">
        <v>1043</v>
      </c>
      <c r="F1977" s="947" t="s">
        <v>1044</v>
      </c>
      <c r="G1977" s="208">
        <v>10904329.26</v>
      </c>
      <c r="H1977" s="950">
        <v>42628</v>
      </c>
      <c r="I1977" s="950">
        <v>42654</v>
      </c>
      <c r="J1977" s="947">
        <v>7872892.7599999998</v>
      </c>
      <c r="K1977" s="947">
        <v>7872892.7599999998</v>
      </c>
      <c r="L1977" s="950">
        <v>42753</v>
      </c>
      <c r="M1977" s="255"/>
      <c r="N1977" s="909">
        <v>1</v>
      </c>
      <c r="O1977" s="718"/>
      <c r="P1977" s="457"/>
      <c r="Q1977" s="458" t="s">
        <v>1114</v>
      </c>
      <c r="R1977" s="623"/>
      <c r="S1977" s="72"/>
      <c r="T1977" s="72"/>
      <c r="U1977" s="72"/>
      <c r="V1977" s="72"/>
    </row>
    <row r="1978" spans="1:22" s="8" customFormat="1" ht="49.5" x14ac:dyDescent="0.25">
      <c r="A1978" s="1065"/>
      <c r="B1978" s="1064"/>
      <c r="C1978" s="356" t="s">
        <v>37</v>
      </c>
      <c r="D1978" s="357">
        <v>93229.63</v>
      </c>
      <c r="E1978" s="690" t="s">
        <v>615</v>
      </c>
      <c r="F1978" s="361" t="s">
        <v>614</v>
      </c>
      <c r="G1978" s="357">
        <f>79008.16*1.18</f>
        <v>93229.628800000006</v>
      </c>
      <c r="H1978" s="360">
        <v>42420</v>
      </c>
      <c r="I1978" s="360">
        <v>42552</v>
      </c>
      <c r="J1978" s="361">
        <v>79008.160000000003</v>
      </c>
      <c r="K1978" s="361">
        <v>79008.160000000003</v>
      </c>
      <c r="L1978" s="360"/>
      <c r="M1978" s="361"/>
      <c r="N1978" s="539"/>
      <c r="O1978" s="466" t="s">
        <v>734</v>
      </c>
      <c r="P1978" s="176"/>
      <c r="Q1978" s="497"/>
      <c r="R1978" s="496"/>
      <c r="S1978" s="2"/>
      <c r="T1978" s="2"/>
      <c r="U1978" s="2"/>
      <c r="V1978" s="2"/>
    </row>
    <row r="1979" spans="1:22" s="11" customFormat="1" ht="33" outlineLevel="1" x14ac:dyDescent="0.25">
      <c r="A1979" s="1065"/>
      <c r="B1979" s="1064"/>
      <c r="C1979" s="549" t="s">
        <v>1095</v>
      </c>
      <c r="D1979" s="169">
        <v>138101.50387323101</v>
      </c>
      <c r="E1979" s="942"/>
      <c r="F1979" s="943"/>
      <c r="G1979" s="169"/>
      <c r="H1979" s="941"/>
      <c r="I1979" s="941"/>
      <c r="J1979" s="943"/>
      <c r="K1979" s="943"/>
      <c r="L1979" s="941"/>
      <c r="M1979" s="943"/>
      <c r="N1979" s="915"/>
      <c r="O1979" s="287"/>
      <c r="P1979" s="176"/>
      <c r="Q1979" s="446"/>
      <c r="R1979" s="335"/>
      <c r="S1979" s="2"/>
      <c r="T1979" s="2"/>
      <c r="U1979" s="2"/>
      <c r="V1979" s="2"/>
    </row>
    <row r="1980" spans="1:22" s="8" customFormat="1" ht="17.25" thickBot="1" x14ac:dyDescent="0.3">
      <c r="A1980" s="1066" t="s">
        <v>628</v>
      </c>
      <c r="B1980" s="1066"/>
      <c r="C1980" s="342"/>
      <c r="D1980" s="945">
        <f>SUM(D1977:D1979)</f>
        <v>12135660.393873231</v>
      </c>
      <c r="E1980" s="942"/>
      <c r="F1980" s="943"/>
      <c r="G1980" s="945">
        <f>SUM(G1977:G1978)</f>
        <v>10997558.888799999</v>
      </c>
      <c r="H1980" s="941"/>
      <c r="I1980" s="172"/>
      <c r="J1980" s="952">
        <f>SUM(J1977:J1978)</f>
        <v>7951900.9199999999</v>
      </c>
      <c r="K1980" s="945">
        <f>SUM(K1977:K1978)</f>
        <v>7951900.9199999999</v>
      </c>
      <c r="L1980" s="340"/>
      <c r="M1980" s="945"/>
      <c r="N1980" s="878">
        <f>AVERAGE(N1977:N1978)</f>
        <v>1</v>
      </c>
      <c r="O1980" s="707"/>
      <c r="P1980" s="176"/>
      <c r="Q1980" s="497"/>
      <c r="R1980" s="496"/>
      <c r="S1980" s="2"/>
      <c r="T1980" s="2"/>
      <c r="U1980" s="2"/>
      <c r="V1980" s="2"/>
    </row>
    <row r="1981" spans="1:22" s="6" customFormat="1" ht="33" x14ac:dyDescent="0.25">
      <c r="A1981" s="1065">
        <v>59</v>
      </c>
      <c r="B1981" s="1064" t="s">
        <v>417</v>
      </c>
      <c r="C1981" s="281" t="s">
        <v>500</v>
      </c>
      <c r="D1981" s="208">
        <v>12316653.560000001</v>
      </c>
      <c r="E1981" s="948" t="s">
        <v>1152</v>
      </c>
      <c r="F1981" s="947" t="s">
        <v>806</v>
      </c>
      <c r="G1981" s="208">
        <v>12316653.560000001</v>
      </c>
      <c r="H1981" s="950">
        <v>42725</v>
      </c>
      <c r="I1981" s="950">
        <v>42746</v>
      </c>
      <c r="J1981" s="947">
        <v>9028885.5800000001</v>
      </c>
      <c r="K1981" s="947">
        <v>9028885.5800000001</v>
      </c>
      <c r="L1981" s="950">
        <v>42762</v>
      </c>
      <c r="M1981" s="947"/>
      <c r="N1981" s="917">
        <v>0.7</v>
      </c>
      <c r="O1981" s="699"/>
      <c r="P1981" s="176"/>
      <c r="Q1981" s="497"/>
      <c r="R1981" s="620"/>
      <c r="S1981" s="9"/>
      <c r="T1981" s="9"/>
      <c r="U1981" s="9"/>
      <c r="V1981" s="9"/>
    </row>
    <row r="1982" spans="1:22" s="8" customFormat="1" ht="49.5" x14ac:dyDescent="0.25">
      <c r="A1982" s="1065"/>
      <c r="B1982" s="1064"/>
      <c r="C1982" s="356" t="s">
        <v>37</v>
      </c>
      <c r="D1982" s="357">
        <v>106684.86</v>
      </c>
      <c r="E1982" s="690" t="s">
        <v>615</v>
      </c>
      <c r="F1982" s="361" t="s">
        <v>614</v>
      </c>
      <c r="G1982" s="357">
        <f>90410.9*1.18</f>
        <v>106684.86199999999</v>
      </c>
      <c r="H1982" s="360">
        <v>42420</v>
      </c>
      <c r="I1982" s="360">
        <v>42627</v>
      </c>
      <c r="J1982" s="361">
        <v>90410.9</v>
      </c>
      <c r="K1982" s="361">
        <v>90410.9</v>
      </c>
      <c r="L1982" s="360"/>
      <c r="M1982" s="361"/>
      <c r="N1982" s="539"/>
      <c r="O1982" s="466" t="s">
        <v>734</v>
      </c>
      <c r="P1982" s="176"/>
      <c r="Q1982" s="497"/>
      <c r="R1982" s="496"/>
      <c r="S1982" s="2"/>
      <c r="T1982" s="2"/>
      <c r="U1982" s="2"/>
      <c r="V1982" s="2"/>
    </row>
    <row r="1983" spans="1:22" s="8" customFormat="1" ht="17.25" thickBot="1" x14ac:dyDescent="0.3">
      <c r="A1983" s="1066" t="s">
        <v>628</v>
      </c>
      <c r="B1983" s="1066"/>
      <c r="C1983" s="342"/>
      <c r="D1983" s="945">
        <f>SUM(D1981:D1982)</f>
        <v>12423338.42</v>
      </c>
      <c r="E1983" s="942"/>
      <c r="F1983" s="943"/>
      <c r="G1983" s="945">
        <f>SUM(G1981:G1982)</f>
        <v>12423338.422</v>
      </c>
      <c r="H1983" s="941"/>
      <c r="I1983" s="172"/>
      <c r="J1983" s="952">
        <f>SUM(J1981:J1982)</f>
        <v>9119296.4800000004</v>
      </c>
      <c r="K1983" s="945">
        <f>SUM(K1981:K1982)</f>
        <v>9119296.4800000004</v>
      </c>
      <c r="L1983" s="340"/>
      <c r="M1983" s="945"/>
      <c r="N1983" s="878">
        <f>AVERAGE(N1981:N1982)</f>
        <v>0.7</v>
      </c>
      <c r="O1983" s="694"/>
      <c r="P1983" s="176"/>
      <c r="Q1983" s="497"/>
      <c r="R1983" s="496"/>
      <c r="S1983" s="2"/>
      <c r="T1983" s="2"/>
      <c r="U1983" s="2"/>
      <c r="V1983" s="2"/>
    </row>
    <row r="1984" spans="1:22" s="6" customFormat="1" ht="31.5" customHeight="1" x14ac:dyDescent="0.25">
      <c r="A1984" s="1065">
        <v>60</v>
      </c>
      <c r="B1984" s="1064" t="s">
        <v>418</v>
      </c>
      <c r="C1984" s="281" t="s">
        <v>500</v>
      </c>
      <c r="D1984" s="208">
        <v>6172539.8200000003</v>
      </c>
      <c r="E1984" s="948" t="s">
        <v>790</v>
      </c>
      <c r="F1984" s="947" t="s">
        <v>792</v>
      </c>
      <c r="G1984" s="208">
        <v>5876000</v>
      </c>
      <c r="H1984" s="957" t="s">
        <v>791</v>
      </c>
      <c r="I1984" s="950">
        <v>42524</v>
      </c>
      <c r="J1984" s="947">
        <v>6172539.8200000003</v>
      </c>
      <c r="K1984" s="947">
        <v>6172539.8200000003</v>
      </c>
      <c r="L1984" s="950"/>
      <c r="M1984" s="947">
        <f>J1984-D1984</f>
        <v>0</v>
      </c>
      <c r="N1984" s="909">
        <v>1</v>
      </c>
      <c r="O1984" s="718"/>
      <c r="P1984" s="176"/>
      <c r="Q1984" s="497"/>
      <c r="R1984" s="620"/>
      <c r="S1984" s="9"/>
      <c r="T1984" s="9"/>
      <c r="U1984" s="9"/>
      <c r="V1984" s="9"/>
    </row>
    <row r="1985" spans="1:22" s="8" customFormat="1" ht="49.5" x14ac:dyDescent="0.25">
      <c r="A1985" s="1065"/>
      <c r="B1985" s="1064"/>
      <c r="C1985" s="356" t="s">
        <v>37</v>
      </c>
      <c r="D1985" s="357">
        <v>94174.83</v>
      </c>
      <c r="E1985" s="690" t="s">
        <v>615</v>
      </c>
      <c r="F1985" s="361" t="s">
        <v>614</v>
      </c>
      <c r="G1985" s="357">
        <f>79809.18*1.18</f>
        <v>94174.832399999985</v>
      </c>
      <c r="H1985" s="360">
        <v>42420</v>
      </c>
      <c r="I1985" s="360">
        <v>42432</v>
      </c>
      <c r="J1985" s="361">
        <v>79809.179999999993</v>
      </c>
      <c r="K1985" s="361">
        <v>79809.179999999993</v>
      </c>
      <c r="L1985" s="360"/>
      <c r="M1985" s="361"/>
      <c r="N1985" s="539"/>
      <c r="O1985" s="466" t="s">
        <v>734</v>
      </c>
      <c r="P1985" s="176"/>
      <c r="Q1985" s="497"/>
      <c r="R1985" s="496"/>
      <c r="S1985" s="2"/>
      <c r="T1985" s="2"/>
      <c r="U1985" s="2"/>
      <c r="V1985" s="2"/>
    </row>
    <row r="1986" spans="1:22" s="8" customFormat="1" ht="17.25" thickBot="1" x14ac:dyDescent="0.3">
      <c r="A1986" s="1066" t="s">
        <v>628</v>
      </c>
      <c r="B1986" s="1066"/>
      <c r="C1986" s="342"/>
      <c r="D1986" s="945">
        <f>SUM(D1984:D1985)</f>
        <v>6266714.6500000004</v>
      </c>
      <c r="E1986" s="942"/>
      <c r="F1986" s="943"/>
      <c r="G1986" s="945">
        <f>SUM(G1984:G1985)</f>
        <v>5970174.8323999997</v>
      </c>
      <c r="H1986" s="941"/>
      <c r="I1986" s="172"/>
      <c r="J1986" s="952">
        <f t="shared" ref="J1986" si="143">SUM(J1984:J1985)</f>
        <v>6252349</v>
      </c>
      <c r="K1986" s="945">
        <f>SUM(K1984:K1985)</f>
        <v>6252349</v>
      </c>
      <c r="L1986" s="340"/>
      <c r="M1986" s="945"/>
      <c r="N1986" s="878">
        <f>AVERAGE(N1984:N1985)</f>
        <v>1</v>
      </c>
      <c r="O1986" s="694"/>
      <c r="P1986" s="176"/>
      <c r="Q1986" s="497"/>
      <c r="R1986" s="496"/>
      <c r="S1986" s="2"/>
      <c r="T1986" s="2"/>
      <c r="U1986" s="2"/>
      <c r="V1986" s="2"/>
    </row>
    <row r="1987" spans="1:22" s="76" customFormat="1" ht="16.5" x14ac:dyDescent="0.25">
      <c r="A1987" s="1065">
        <v>61</v>
      </c>
      <c r="B1987" s="1064" t="s">
        <v>419</v>
      </c>
      <c r="C1987" s="281" t="s">
        <v>34</v>
      </c>
      <c r="D1987" s="208">
        <v>11542719.57</v>
      </c>
      <c r="E1987" s="1113" t="s">
        <v>1269</v>
      </c>
      <c r="F1987" s="1111" t="s">
        <v>912</v>
      </c>
      <c r="G1987" s="208">
        <v>11542719.57</v>
      </c>
      <c r="H1987" s="950">
        <v>42720</v>
      </c>
      <c r="I1987" s="950">
        <v>42730</v>
      </c>
      <c r="J1987" s="947">
        <v>9773054</v>
      </c>
      <c r="K1987" s="947">
        <v>9773054</v>
      </c>
      <c r="L1987" s="254"/>
      <c r="M1987" s="255"/>
      <c r="N1987" s="909">
        <v>0.7</v>
      </c>
      <c r="O1987" s="718"/>
      <c r="P1987" s="457">
        <v>2017</v>
      </c>
      <c r="Q1987" s="622"/>
      <c r="R1987" s="623"/>
      <c r="S1987" s="72"/>
      <c r="T1987" s="72"/>
      <c r="U1987" s="72"/>
      <c r="V1987" s="72"/>
    </row>
    <row r="1988" spans="1:22" s="76" customFormat="1" ht="16.5" x14ac:dyDescent="0.25">
      <c r="A1988" s="1065"/>
      <c r="B1988" s="1064"/>
      <c r="C1988" s="281" t="s">
        <v>35</v>
      </c>
      <c r="D1988" s="208">
        <v>5557280.4299999997</v>
      </c>
      <c r="E1988" s="1113"/>
      <c r="F1988" s="1111"/>
      <c r="G1988" s="208">
        <v>5557280.4299999997</v>
      </c>
      <c r="H1988" s="950">
        <v>42720</v>
      </c>
      <c r="I1988" s="950">
        <v>42730</v>
      </c>
      <c r="J1988" s="947">
        <v>4307284</v>
      </c>
      <c r="K1988" s="947">
        <v>4307284</v>
      </c>
      <c r="L1988" s="254"/>
      <c r="M1988" s="255"/>
      <c r="N1988" s="916">
        <v>0.75</v>
      </c>
      <c r="O1988" s="809"/>
      <c r="P1988" s="457">
        <v>2017</v>
      </c>
      <c r="Q1988" s="622"/>
      <c r="R1988" s="623"/>
      <c r="S1988" s="72"/>
      <c r="T1988" s="72"/>
      <c r="U1988" s="72"/>
      <c r="V1988" s="72"/>
    </row>
    <row r="1989" spans="1:22" s="8" customFormat="1" ht="49.5" x14ac:dyDescent="0.25">
      <c r="A1989" s="1065"/>
      <c r="B1989" s="1064"/>
      <c r="C1989" s="356" t="s">
        <v>37</v>
      </c>
      <c r="D1989" s="357">
        <v>107727.73</v>
      </c>
      <c r="E1989" s="690" t="s">
        <v>615</v>
      </c>
      <c r="F1989" s="361" t="s">
        <v>614</v>
      </c>
      <c r="G1989" s="357">
        <f>91294.69*1.18</f>
        <v>107727.73419999999</v>
      </c>
      <c r="H1989" s="360">
        <v>42420</v>
      </c>
      <c r="I1989" s="360">
        <v>42627</v>
      </c>
      <c r="J1989" s="361">
        <v>91294.68</v>
      </c>
      <c r="K1989" s="361">
        <v>91294.68</v>
      </c>
      <c r="L1989" s="360"/>
      <c r="M1989" s="361"/>
      <c r="N1989" s="539"/>
      <c r="O1989" s="466" t="s">
        <v>734</v>
      </c>
      <c r="P1989" s="176"/>
      <c r="Q1989" s="497"/>
      <c r="R1989" s="496"/>
      <c r="S1989" s="2"/>
      <c r="T1989" s="2"/>
      <c r="U1989" s="2"/>
      <c r="V1989" s="2"/>
    </row>
    <row r="1990" spans="1:22" s="11" customFormat="1" ht="33" outlineLevel="1" x14ac:dyDescent="0.25">
      <c r="A1990" s="951"/>
      <c r="B1990" s="944"/>
      <c r="C1990" s="549" t="s">
        <v>1095</v>
      </c>
      <c r="D1990" s="169">
        <v>125515.030763332</v>
      </c>
      <c r="E1990" s="942"/>
      <c r="F1990" s="943"/>
      <c r="G1990" s="169"/>
      <c r="H1990" s="941"/>
      <c r="I1990" s="941"/>
      <c r="J1990" s="943"/>
      <c r="K1990" s="943"/>
      <c r="L1990" s="941"/>
      <c r="M1990" s="943"/>
      <c r="N1990" s="915"/>
      <c r="O1990" s="287"/>
      <c r="P1990" s="176"/>
      <c r="Q1990" s="446"/>
      <c r="R1990" s="335"/>
      <c r="S1990" s="2"/>
      <c r="T1990" s="2"/>
      <c r="U1990" s="2"/>
      <c r="V1990" s="2"/>
    </row>
    <row r="1991" spans="1:22" s="8" customFormat="1" ht="17.25" thickBot="1" x14ac:dyDescent="0.3">
      <c r="A1991" s="1066" t="s">
        <v>628</v>
      </c>
      <c r="B1991" s="1066"/>
      <c r="C1991" s="342"/>
      <c r="D1991" s="945">
        <f>SUM(D1987:D1990)</f>
        <v>17333242.760763332</v>
      </c>
      <c r="E1991" s="942"/>
      <c r="F1991" s="943"/>
      <c r="G1991" s="945">
        <f>SUM(G1987:G1989)</f>
        <v>17207727.734200001</v>
      </c>
      <c r="H1991" s="941"/>
      <c r="I1991" s="172"/>
      <c r="J1991" s="952">
        <f>SUM(J1987:J1989)</f>
        <v>14171632.68</v>
      </c>
      <c r="K1991" s="945">
        <f>SUM(K1987:K1989)</f>
        <v>14171632.68</v>
      </c>
      <c r="L1991" s="340"/>
      <c r="M1991" s="945"/>
      <c r="N1991" s="878">
        <f>AVERAGE(N1987:N1989)</f>
        <v>0.72499999999999998</v>
      </c>
      <c r="O1991" s="694"/>
      <c r="P1991" s="176"/>
      <c r="Q1991" s="497"/>
      <c r="R1991" s="496"/>
      <c r="S1991" s="2"/>
      <c r="T1991" s="2"/>
      <c r="U1991" s="2"/>
      <c r="V1991" s="2"/>
    </row>
    <row r="1992" spans="1:22" s="6" customFormat="1" ht="33" x14ac:dyDescent="0.25">
      <c r="A1992" s="1065">
        <v>62</v>
      </c>
      <c r="B1992" s="1076" t="s">
        <v>420</v>
      </c>
      <c r="C1992" s="281" t="s">
        <v>501</v>
      </c>
      <c r="D1992" s="208">
        <v>9417000</v>
      </c>
      <c r="E1992" s="948" t="s">
        <v>1059</v>
      </c>
      <c r="F1992" s="947" t="s">
        <v>1060</v>
      </c>
      <c r="G1992" s="208">
        <v>8416342</v>
      </c>
      <c r="H1992" s="950">
        <v>42663</v>
      </c>
      <c r="I1992" s="950">
        <v>42710</v>
      </c>
      <c r="J1992" s="947">
        <v>7045261</v>
      </c>
      <c r="K1992" s="947">
        <v>7045261</v>
      </c>
      <c r="L1992" s="950">
        <v>42726</v>
      </c>
      <c r="M1992" s="255"/>
      <c r="N1992" s="909">
        <v>1</v>
      </c>
      <c r="O1992" s="699"/>
      <c r="P1992" s="176"/>
      <c r="Q1992" s="201" t="s">
        <v>1114</v>
      </c>
      <c r="R1992" s="620"/>
      <c r="S1992" s="9"/>
      <c r="T1992" s="9"/>
      <c r="U1992" s="9"/>
      <c r="V1992" s="9"/>
    </row>
    <row r="1993" spans="1:22" s="6" customFormat="1" ht="30" customHeight="1" x14ac:dyDescent="0.25">
      <c r="A1993" s="1065"/>
      <c r="B1993" s="1076"/>
      <c r="C1993" s="356" t="s">
        <v>37</v>
      </c>
      <c r="D1993" s="357"/>
      <c r="E1993" s="690" t="s">
        <v>621</v>
      </c>
      <c r="F1993" s="361" t="s">
        <v>614</v>
      </c>
      <c r="G1993" s="357"/>
      <c r="H1993" s="360"/>
      <c r="I1993" s="360">
        <v>42452</v>
      </c>
      <c r="J1993" s="361">
        <v>86016.639999999999</v>
      </c>
      <c r="K1993" s="361">
        <v>86016.639999999999</v>
      </c>
      <c r="L1993" s="360">
        <v>42732</v>
      </c>
      <c r="M1993" s="555"/>
      <c r="N1993" s="918"/>
      <c r="O1993" s="919"/>
      <c r="P1993" s="176"/>
      <c r="Q1993" s="201"/>
      <c r="R1993" s="620"/>
      <c r="S1993" s="9"/>
      <c r="T1993" s="9"/>
      <c r="U1993" s="9"/>
      <c r="V1993" s="9"/>
    </row>
    <row r="1994" spans="1:22" s="8" customFormat="1" ht="49.5" x14ac:dyDescent="0.25">
      <c r="A1994" s="1065"/>
      <c r="B1994" s="1076"/>
      <c r="C1994" s="356" t="s">
        <v>37</v>
      </c>
      <c r="D1994" s="357">
        <v>211850.28</v>
      </c>
      <c r="E1994" s="690" t="s">
        <v>615</v>
      </c>
      <c r="F1994" s="361" t="s">
        <v>614</v>
      </c>
      <c r="G1994" s="357">
        <f>93517.5*1.18</f>
        <v>110350.65</v>
      </c>
      <c r="H1994" s="360">
        <v>42420</v>
      </c>
      <c r="I1994" s="360">
        <v>42577</v>
      </c>
      <c r="J1994" s="361">
        <v>93517.5</v>
      </c>
      <c r="K1994" s="361">
        <v>93517.5</v>
      </c>
      <c r="L1994" s="360"/>
      <c r="M1994" s="361"/>
      <c r="N1994" s="539"/>
      <c r="O1994" s="466" t="s">
        <v>736</v>
      </c>
      <c r="P1994" s="176"/>
      <c r="Q1994" s="497"/>
      <c r="R1994" s="496"/>
      <c r="S1994" s="2"/>
      <c r="T1994" s="2"/>
      <c r="U1994" s="2"/>
      <c r="V1994" s="2"/>
    </row>
    <row r="1995" spans="1:22" s="11" customFormat="1" ht="33" outlineLevel="1" x14ac:dyDescent="0.25">
      <c r="A1995" s="1065"/>
      <c r="B1995" s="1076"/>
      <c r="C1995" s="549" t="s">
        <v>1095</v>
      </c>
      <c r="D1995" s="169">
        <v>122400.077244235</v>
      </c>
      <c r="E1995" s="942"/>
      <c r="F1995" s="943"/>
      <c r="G1995" s="169"/>
      <c r="H1995" s="941"/>
      <c r="I1995" s="941"/>
      <c r="J1995" s="943"/>
      <c r="K1995" s="943"/>
      <c r="L1995" s="941"/>
      <c r="M1995" s="943"/>
      <c r="N1995" s="915"/>
      <c r="O1995" s="287"/>
      <c r="P1995" s="176"/>
      <c r="Q1995" s="446"/>
      <c r="R1995" s="335"/>
      <c r="S1995" s="2"/>
      <c r="T1995" s="2"/>
      <c r="U1995" s="2"/>
      <c r="V1995" s="2"/>
    </row>
    <row r="1996" spans="1:22" s="8" customFormat="1" ht="17.25" thickBot="1" x14ac:dyDescent="0.3">
      <c r="A1996" s="1066" t="s">
        <v>628</v>
      </c>
      <c r="B1996" s="1066"/>
      <c r="C1996" s="342"/>
      <c r="D1996" s="945">
        <f>SUM(D1992:D1995)</f>
        <v>9751250.3572442345</v>
      </c>
      <c r="E1996" s="942"/>
      <c r="F1996" s="943"/>
      <c r="G1996" s="945">
        <f>SUM(G1992:G1994)</f>
        <v>8526692.6500000004</v>
      </c>
      <c r="H1996" s="941"/>
      <c r="I1996" s="172"/>
      <c r="J1996" s="952">
        <f>SUM(J1992:J1994)</f>
        <v>7224795.1399999997</v>
      </c>
      <c r="K1996" s="945">
        <f>SUM(K1992:K1994)</f>
        <v>7224795.1399999997</v>
      </c>
      <c r="L1996" s="340"/>
      <c r="M1996" s="945"/>
      <c r="N1996" s="878">
        <f>AVERAGE(N1992:N1994)</f>
        <v>1</v>
      </c>
      <c r="O1996" s="707"/>
      <c r="P1996" s="176"/>
      <c r="Q1996" s="497"/>
      <c r="R1996" s="496"/>
      <c r="S1996" s="2"/>
      <c r="T1996" s="2"/>
      <c r="U1996" s="2"/>
      <c r="V1996" s="2"/>
    </row>
    <row r="1997" spans="1:22" s="6" customFormat="1" ht="33" x14ac:dyDescent="0.25">
      <c r="A1997" s="1065">
        <v>63</v>
      </c>
      <c r="B1997" s="1064" t="s">
        <v>421</v>
      </c>
      <c r="C1997" s="281" t="s">
        <v>500</v>
      </c>
      <c r="D1997" s="208">
        <v>4784341.8600000003</v>
      </c>
      <c r="E1997" s="948" t="s">
        <v>825</v>
      </c>
      <c r="F1997" s="947" t="s">
        <v>816</v>
      </c>
      <c r="G1997" s="208">
        <v>4999999</v>
      </c>
      <c r="H1997" s="950">
        <v>42545</v>
      </c>
      <c r="I1997" s="950">
        <v>42569</v>
      </c>
      <c r="J1997" s="947">
        <v>4784341.8600000003</v>
      </c>
      <c r="K1997" s="947">
        <v>4784341.8600000003</v>
      </c>
      <c r="L1997" s="254"/>
      <c r="M1997" s="255"/>
      <c r="N1997" s="909">
        <v>1</v>
      </c>
      <c r="O1997" s="699"/>
      <c r="P1997" s="176"/>
      <c r="Q1997" s="497"/>
      <c r="R1997" s="620"/>
      <c r="S1997" s="9"/>
      <c r="T1997" s="9"/>
      <c r="U1997" s="9"/>
      <c r="V1997" s="9"/>
    </row>
    <row r="1998" spans="1:22" s="8" customFormat="1" ht="49.5" x14ac:dyDescent="0.25">
      <c r="A1998" s="1065"/>
      <c r="B1998" s="1064"/>
      <c r="C1998" s="356" t="s">
        <v>37</v>
      </c>
      <c r="D1998" s="357">
        <v>67491.429999999993</v>
      </c>
      <c r="E1998" s="690" t="s">
        <v>615</v>
      </c>
      <c r="F1998" s="361" t="s">
        <v>614</v>
      </c>
      <c r="G1998" s="357">
        <f>57196.13*1.18</f>
        <v>67491.433399999994</v>
      </c>
      <c r="H1998" s="360">
        <v>42420</v>
      </c>
      <c r="I1998" s="360">
        <v>42453</v>
      </c>
      <c r="J1998" s="361">
        <v>57196.13</v>
      </c>
      <c r="K1998" s="361">
        <v>57196.13</v>
      </c>
      <c r="L1998" s="360"/>
      <c r="M1998" s="361"/>
      <c r="N1998" s="539"/>
      <c r="O1998" s="466" t="s">
        <v>734</v>
      </c>
      <c r="P1998" s="176"/>
      <c r="Q1998" s="497"/>
      <c r="R1998" s="496"/>
      <c r="S1998" s="2"/>
      <c r="T1998" s="2"/>
      <c r="U1998" s="2"/>
      <c r="V1998" s="2"/>
    </row>
    <row r="1999" spans="1:22" s="8" customFormat="1" ht="17.25" thickBot="1" x14ac:dyDescent="0.3">
      <c r="A1999" s="1066" t="s">
        <v>628</v>
      </c>
      <c r="B1999" s="1066"/>
      <c r="C1999" s="342"/>
      <c r="D1999" s="945">
        <f>SUM(D1997:D1998)</f>
        <v>4851833.29</v>
      </c>
      <c r="E1999" s="942"/>
      <c r="F1999" s="943"/>
      <c r="G1999" s="945">
        <f>SUM(G1997:G1998)</f>
        <v>5067490.4334000004</v>
      </c>
      <c r="H1999" s="941"/>
      <c r="I1999" s="172"/>
      <c r="J1999" s="952">
        <f>SUM(J1997:J1998)</f>
        <v>4841537.99</v>
      </c>
      <c r="K1999" s="945">
        <f>SUM(K1997:K1998)</f>
        <v>4841537.99</v>
      </c>
      <c r="L1999" s="340"/>
      <c r="M1999" s="945"/>
      <c r="N1999" s="878">
        <f>AVERAGE(N1997:N1998)</f>
        <v>1</v>
      </c>
      <c r="O1999" s="694"/>
      <c r="P1999" s="176"/>
      <c r="Q1999" s="497"/>
      <c r="R1999" s="496"/>
      <c r="S1999" s="2"/>
      <c r="T1999" s="2"/>
      <c r="U1999" s="2"/>
      <c r="V1999" s="2"/>
    </row>
    <row r="2000" spans="1:22" s="6" customFormat="1" ht="33" x14ac:dyDescent="0.25">
      <c r="A2000" s="1065">
        <v>64</v>
      </c>
      <c r="B2000" s="1076" t="s">
        <v>422</v>
      </c>
      <c r="C2000" s="339" t="s">
        <v>38</v>
      </c>
      <c r="D2000" s="339">
        <v>2157559.2000000002</v>
      </c>
      <c r="E2000" s="942" t="s">
        <v>1086</v>
      </c>
      <c r="F2000" s="943" t="s">
        <v>1087</v>
      </c>
      <c r="G2000" s="339">
        <v>2157559.2000000002</v>
      </c>
      <c r="H2000" s="941">
        <v>42625</v>
      </c>
      <c r="I2000" s="954"/>
      <c r="J2000" s="943"/>
      <c r="K2000" s="949"/>
      <c r="L2000" s="955"/>
      <c r="M2000" s="949"/>
      <c r="N2000" s="914">
        <v>0.15</v>
      </c>
      <c r="O2000" s="736"/>
      <c r="P2000" s="176"/>
      <c r="Q2000" s="201" t="s">
        <v>1114</v>
      </c>
      <c r="R2000" s="620"/>
      <c r="S2000" s="9"/>
      <c r="T2000" s="9"/>
      <c r="U2000" s="9"/>
      <c r="V2000" s="9"/>
    </row>
    <row r="2001" spans="1:22" s="8" customFormat="1" ht="33" x14ac:dyDescent="0.25">
      <c r="A2001" s="1065"/>
      <c r="B2001" s="1076"/>
      <c r="C2001" s="339" t="s">
        <v>34</v>
      </c>
      <c r="D2001" s="339">
        <v>12652666.82</v>
      </c>
      <c r="E2001" s="942" t="s">
        <v>1086</v>
      </c>
      <c r="F2001" s="943" t="s">
        <v>1087</v>
      </c>
      <c r="G2001" s="303">
        <v>12652666.82</v>
      </c>
      <c r="H2001" s="941">
        <v>42625</v>
      </c>
      <c r="I2001" s="172"/>
      <c r="J2001" s="943"/>
      <c r="K2001" s="943"/>
      <c r="L2001" s="941"/>
      <c r="M2001" s="943"/>
      <c r="N2001" s="537">
        <v>0.95</v>
      </c>
      <c r="O2001" s="733"/>
      <c r="P2001" s="176"/>
      <c r="Q2001" s="201" t="s">
        <v>1114</v>
      </c>
      <c r="R2001" s="496"/>
      <c r="S2001" s="2"/>
      <c r="T2001" s="2"/>
      <c r="U2001" s="2"/>
      <c r="V2001" s="2"/>
    </row>
    <row r="2002" spans="1:22" s="8" customFormat="1" ht="49.5" x14ac:dyDescent="0.25">
      <c r="A2002" s="1065"/>
      <c r="B2002" s="1076"/>
      <c r="C2002" s="356" t="s">
        <v>37</v>
      </c>
      <c r="D2002" s="357">
        <v>195138.42</v>
      </c>
      <c r="E2002" s="690" t="s">
        <v>621</v>
      </c>
      <c r="F2002" s="361" t="s">
        <v>614</v>
      </c>
      <c r="G2002" s="357">
        <f>165371.55*1.18</f>
        <v>195138.42899999997</v>
      </c>
      <c r="H2002" s="360">
        <v>42384</v>
      </c>
      <c r="I2002" s="360">
        <v>42452</v>
      </c>
      <c r="J2002" s="361">
        <v>165371.54999999999</v>
      </c>
      <c r="K2002" s="361">
        <v>165371.54999999999</v>
      </c>
      <c r="L2002" s="360">
        <v>42730</v>
      </c>
      <c r="M2002" s="361"/>
      <c r="N2002" s="539"/>
      <c r="O2002" s="466" t="s">
        <v>734</v>
      </c>
      <c r="P2002" s="176"/>
      <c r="Q2002" s="497"/>
      <c r="R2002" s="496"/>
      <c r="S2002" s="2"/>
      <c r="T2002" s="2"/>
      <c r="U2002" s="2"/>
      <c r="V2002" s="2"/>
    </row>
    <row r="2003" spans="1:22" s="11" customFormat="1" ht="33" outlineLevel="1" x14ac:dyDescent="0.25">
      <c r="A2003" s="1065"/>
      <c r="B2003" s="1076"/>
      <c r="C2003" s="549" t="s">
        <v>1095</v>
      </c>
      <c r="D2003" s="169">
        <v>87179.542507618506</v>
      </c>
      <c r="E2003" s="942"/>
      <c r="F2003" s="943"/>
      <c r="G2003" s="169"/>
      <c r="H2003" s="941"/>
      <c r="I2003" s="941"/>
      <c r="J2003" s="943"/>
      <c r="K2003" s="943"/>
      <c r="L2003" s="941"/>
      <c r="M2003" s="943"/>
      <c r="N2003" s="915"/>
      <c r="O2003" s="287"/>
      <c r="P2003" s="176"/>
      <c r="Q2003" s="446"/>
      <c r="R2003" s="335"/>
      <c r="S2003" s="2"/>
      <c r="T2003" s="2"/>
      <c r="U2003" s="2"/>
      <c r="V2003" s="2"/>
    </row>
    <row r="2004" spans="1:22" s="8" customFormat="1" ht="17.25" thickBot="1" x14ac:dyDescent="0.3">
      <c r="A2004" s="1066" t="s">
        <v>628</v>
      </c>
      <c r="B2004" s="1066"/>
      <c r="C2004" s="339"/>
      <c r="D2004" s="945">
        <f>SUM(D2000:D2003)</f>
        <v>15092543.982507618</v>
      </c>
      <c r="E2004" s="942"/>
      <c r="F2004" s="943"/>
      <c r="G2004" s="945">
        <f>SUM(G2000:G2002)</f>
        <v>15005364.448999999</v>
      </c>
      <c r="H2004" s="941"/>
      <c r="I2004" s="172"/>
      <c r="J2004" s="952">
        <f>SUM(J2000:J2002)</f>
        <v>165371.54999999999</v>
      </c>
      <c r="K2004" s="945">
        <f>SUM(K2000:K2002)</f>
        <v>165371.54999999999</v>
      </c>
      <c r="L2004" s="340"/>
      <c r="M2004" s="945"/>
      <c r="N2004" s="878">
        <f>AVERAGE(N2000:N2002)</f>
        <v>0.54999999999999993</v>
      </c>
      <c r="O2004" s="713"/>
      <c r="P2004" s="176"/>
      <c r="Q2004" s="497"/>
      <c r="R2004" s="496"/>
      <c r="S2004" s="2"/>
      <c r="T2004" s="2"/>
      <c r="U2004" s="2"/>
      <c r="V2004" s="2"/>
    </row>
    <row r="2005" spans="1:22" s="6" customFormat="1" ht="33" x14ac:dyDescent="0.25">
      <c r="A2005" s="1065">
        <v>65</v>
      </c>
      <c r="B2005" s="1064" t="s">
        <v>423</v>
      </c>
      <c r="C2005" s="281" t="s">
        <v>500</v>
      </c>
      <c r="D2005" s="208">
        <v>5472956.4500000002</v>
      </c>
      <c r="E2005" s="948" t="s">
        <v>928</v>
      </c>
      <c r="F2005" s="947" t="s">
        <v>792</v>
      </c>
      <c r="G2005" s="208">
        <v>5664888.54</v>
      </c>
      <c r="H2005" s="950">
        <v>42593</v>
      </c>
      <c r="I2005" s="950">
        <v>42587</v>
      </c>
      <c r="J2005" s="947">
        <v>5472956.4500000002</v>
      </c>
      <c r="K2005" s="947">
        <v>5472956.4500000002</v>
      </c>
      <c r="L2005" s="950"/>
      <c r="M2005" s="947"/>
      <c r="N2005" s="909">
        <v>1</v>
      </c>
      <c r="O2005" s="699"/>
      <c r="P2005" s="176"/>
      <c r="Q2005" s="497"/>
      <c r="R2005" s="620"/>
      <c r="S2005" s="9"/>
      <c r="T2005" s="9"/>
      <c r="U2005" s="9"/>
      <c r="V2005" s="9"/>
    </row>
    <row r="2006" spans="1:22" s="8" customFormat="1" ht="49.5" x14ac:dyDescent="0.25">
      <c r="A2006" s="1065"/>
      <c r="B2006" s="1064"/>
      <c r="C2006" s="356" t="s">
        <v>37</v>
      </c>
      <c r="D2006" s="357">
        <v>97527.79</v>
      </c>
      <c r="E2006" s="690" t="s">
        <v>615</v>
      </c>
      <c r="F2006" s="361" t="s">
        <v>614</v>
      </c>
      <c r="G2006" s="357">
        <f>82650.67*1.18</f>
        <v>97527.790599999993</v>
      </c>
      <c r="H2006" s="360">
        <v>42420</v>
      </c>
      <c r="I2006" s="360">
        <v>42529</v>
      </c>
      <c r="J2006" s="361">
        <v>82650.67</v>
      </c>
      <c r="K2006" s="361">
        <v>82650.67</v>
      </c>
      <c r="L2006" s="360"/>
      <c r="M2006" s="361"/>
      <c r="N2006" s="539"/>
      <c r="O2006" s="466" t="s">
        <v>734</v>
      </c>
      <c r="P2006" s="176"/>
      <c r="Q2006" s="497"/>
      <c r="R2006" s="496"/>
      <c r="S2006" s="2"/>
      <c r="T2006" s="2"/>
      <c r="U2006" s="2"/>
      <c r="V2006" s="2"/>
    </row>
    <row r="2007" spans="1:22" s="8" customFormat="1" ht="17.25" thickBot="1" x14ac:dyDescent="0.3">
      <c r="A2007" s="1066" t="s">
        <v>628</v>
      </c>
      <c r="B2007" s="1066"/>
      <c r="C2007" s="342"/>
      <c r="D2007" s="945">
        <f>SUM(D2005:D2006)</f>
        <v>5570484.2400000002</v>
      </c>
      <c r="E2007" s="942"/>
      <c r="F2007" s="943"/>
      <c r="G2007" s="945">
        <f>SUM(G2005:G2006)</f>
        <v>5762416.3306</v>
      </c>
      <c r="H2007" s="941"/>
      <c r="I2007" s="172"/>
      <c r="J2007" s="952">
        <f>SUM(J2005:J2006)</f>
        <v>5555607.1200000001</v>
      </c>
      <c r="K2007" s="945">
        <f>SUM(K2005:K2006)</f>
        <v>5555607.1200000001</v>
      </c>
      <c r="L2007" s="340"/>
      <c r="M2007" s="945"/>
      <c r="N2007" s="878">
        <f>AVERAGE(N2005:N2006)</f>
        <v>1</v>
      </c>
      <c r="O2007" s="694"/>
      <c r="P2007" s="176"/>
      <c r="Q2007" s="497"/>
      <c r="R2007" s="496"/>
      <c r="S2007" s="2"/>
      <c r="T2007" s="2"/>
      <c r="U2007" s="2"/>
      <c r="V2007" s="2"/>
    </row>
    <row r="2008" spans="1:22" s="6" customFormat="1" ht="33" x14ac:dyDescent="0.25">
      <c r="A2008" s="1065">
        <v>66</v>
      </c>
      <c r="B2008" s="1064" t="s">
        <v>424</v>
      </c>
      <c r="C2008" s="281" t="s">
        <v>500</v>
      </c>
      <c r="D2008" s="208">
        <v>4052461.02</v>
      </c>
      <c r="E2008" s="948" t="s">
        <v>920</v>
      </c>
      <c r="F2008" s="947" t="s">
        <v>816</v>
      </c>
      <c r="G2008" s="208">
        <v>4099000</v>
      </c>
      <c r="H2008" s="950">
        <v>42591</v>
      </c>
      <c r="I2008" s="950">
        <v>42591</v>
      </c>
      <c r="J2008" s="947">
        <v>4052461.02</v>
      </c>
      <c r="K2008" s="947">
        <v>4052461.02</v>
      </c>
      <c r="L2008" s="950"/>
      <c r="M2008" s="947"/>
      <c r="N2008" s="920">
        <v>1</v>
      </c>
      <c r="O2008" s="921"/>
      <c r="P2008" s="176"/>
      <c r="Q2008" s="201" t="s">
        <v>1116</v>
      </c>
      <c r="R2008" s="620"/>
      <c r="S2008" s="9"/>
      <c r="T2008" s="9"/>
      <c r="U2008" s="9"/>
      <c r="V2008" s="9"/>
    </row>
    <row r="2009" spans="1:22" s="8" customFormat="1" ht="49.5" x14ac:dyDescent="0.25">
      <c r="A2009" s="1065"/>
      <c r="B2009" s="1064"/>
      <c r="C2009" s="356" t="s">
        <v>37</v>
      </c>
      <c r="D2009" s="357">
        <v>77207.320000000007</v>
      </c>
      <c r="E2009" s="690" t="s">
        <v>615</v>
      </c>
      <c r="F2009" s="361" t="s">
        <v>614</v>
      </c>
      <c r="G2009" s="357">
        <f>65429.93*1.18</f>
        <v>77207.3174</v>
      </c>
      <c r="H2009" s="360">
        <v>42420</v>
      </c>
      <c r="I2009" s="360">
        <v>42502</v>
      </c>
      <c r="J2009" s="361">
        <v>65429.93</v>
      </c>
      <c r="K2009" s="361">
        <v>65429.93</v>
      </c>
      <c r="L2009" s="360"/>
      <c r="M2009" s="361"/>
      <c r="N2009" s="922"/>
      <c r="O2009" s="923" t="s">
        <v>734</v>
      </c>
      <c r="P2009" s="176"/>
      <c r="Q2009" s="497"/>
      <c r="R2009" s="496"/>
      <c r="S2009" s="2"/>
      <c r="T2009" s="2"/>
      <c r="U2009" s="2"/>
      <c r="V2009" s="2"/>
    </row>
    <row r="2010" spans="1:22" s="8" customFormat="1" ht="17.25" thickBot="1" x14ac:dyDescent="0.3">
      <c r="A2010" s="1066" t="s">
        <v>628</v>
      </c>
      <c r="B2010" s="1066"/>
      <c r="C2010" s="342"/>
      <c r="D2010" s="945">
        <f>SUM(D2008:D2009)</f>
        <v>4129668.34</v>
      </c>
      <c r="E2010" s="942"/>
      <c r="F2010" s="943"/>
      <c r="G2010" s="945">
        <f>SUM(G2008:G2009)</f>
        <v>4176207.3174000001</v>
      </c>
      <c r="H2010" s="941"/>
      <c r="I2010" s="172"/>
      <c r="J2010" s="952">
        <f>SUM(J2008:J2009)</f>
        <v>4117890.95</v>
      </c>
      <c r="K2010" s="945">
        <f>SUM(K2008:K2009)</f>
        <v>4117890.95</v>
      </c>
      <c r="L2010" s="340"/>
      <c r="M2010" s="945"/>
      <c r="N2010" s="924">
        <f>AVERAGE(N2008:N2009)</f>
        <v>1</v>
      </c>
      <c r="O2010" s="925"/>
      <c r="P2010" s="176"/>
      <c r="Q2010" s="497"/>
      <c r="R2010" s="496"/>
      <c r="S2010" s="2"/>
      <c r="T2010" s="2"/>
      <c r="U2010" s="2"/>
      <c r="V2010" s="2"/>
    </row>
    <row r="2011" spans="1:22" s="8" customFormat="1" ht="33" x14ac:dyDescent="0.25">
      <c r="A2011" s="1065">
        <v>67</v>
      </c>
      <c r="B2011" s="1076" t="s">
        <v>425</v>
      </c>
      <c r="C2011" s="339" t="s">
        <v>38</v>
      </c>
      <c r="D2011" s="339">
        <v>2306145.48</v>
      </c>
      <c r="E2011" s="942" t="s">
        <v>1086</v>
      </c>
      <c r="F2011" s="943" t="s">
        <v>1087</v>
      </c>
      <c r="G2011" s="339">
        <v>2306145.48</v>
      </c>
      <c r="H2011" s="941">
        <v>42625</v>
      </c>
      <c r="I2011" s="172"/>
      <c r="J2011" s="943"/>
      <c r="K2011" s="943"/>
      <c r="L2011" s="941"/>
      <c r="M2011" s="943"/>
      <c r="N2011" s="926">
        <v>0.1</v>
      </c>
      <c r="O2011" s="736"/>
      <c r="P2011" s="176"/>
      <c r="Q2011" s="201" t="s">
        <v>1114</v>
      </c>
      <c r="R2011" s="496"/>
      <c r="S2011" s="2"/>
      <c r="T2011" s="2"/>
      <c r="U2011" s="2"/>
      <c r="V2011" s="2"/>
    </row>
    <row r="2012" spans="1:22" s="8" customFormat="1" ht="33" x14ac:dyDescent="0.25">
      <c r="A2012" s="1065"/>
      <c r="B2012" s="1076"/>
      <c r="C2012" s="339" t="s">
        <v>34</v>
      </c>
      <c r="D2012" s="339">
        <v>9781027.0800000001</v>
      </c>
      <c r="E2012" s="942" t="s">
        <v>1086</v>
      </c>
      <c r="F2012" s="943" t="s">
        <v>1087</v>
      </c>
      <c r="G2012" s="303">
        <v>9781027.0800000001</v>
      </c>
      <c r="H2012" s="941">
        <v>42625</v>
      </c>
      <c r="I2012" s="172"/>
      <c r="J2012" s="943"/>
      <c r="K2012" s="943"/>
      <c r="L2012" s="941"/>
      <c r="M2012" s="943"/>
      <c r="N2012" s="537">
        <v>0.95</v>
      </c>
      <c r="O2012" s="521"/>
      <c r="P2012" s="176"/>
      <c r="Q2012" s="201" t="s">
        <v>1114</v>
      </c>
      <c r="R2012" s="496"/>
      <c r="S2012" s="2"/>
      <c r="T2012" s="2"/>
      <c r="U2012" s="2"/>
      <c r="V2012" s="2"/>
    </row>
    <row r="2013" spans="1:22" s="8" customFormat="1" ht="33" x14ac:dyDescent="0.25">
      <c r="A2013" s="1065"/>
      <c r="B2013" s="1076"/>
      <c r="C2013" s="339" t="s">
        <v>35</v>
      </c>
      <c r="D2013" s="339">
        <v>4784373.72</v>
      </c>
      <c r="E2013" s="942" t="s">
        <v>1086</v>
      </c>
      <c r="F2013" s="943" t="s">
        <v>1087</v>
      </c>
      <c r="G2013" s="339">
        <v>4784373.72</v>
      </c>
      <c r="H2013" s="941">
        <v>42625</v>
      </c>
      <c r="I2013" s="172"/>
      <c r="J2013" s="943"/>
      <c r="K2013" s="943"/>
      <c r="L2013" s="941"/>
      <c r="M2013" s="943"/>
      <c r="N2013" s="537">
        <v>0.95</v>
      </c>
      <c r="O2013" s="733"/>
      <c r="P2013" s="176"/>
      <c r="Q2013" s="201" t="s">
        <v>1114</v>
      </c>
      <c r="R2013" s="496"/>
      <c r="S2013" s="2"/>
      <c r="T2013" s="2"/>
      <c r="U2013" s="2"/>
      <c r="V2013" s="2"/>
    </row>
    <row r="2014" spans="1:22" s="8" customFormat="1" ht="33" x14ac:dyDescent="0.25">
      <c r="A2014" s="1065"/>
      <c r="B2014" s="1076"/>
      <c r="C2014" s="339" t="s">
        <v>36</v>
      </c>
      <c r="D2014" s="339">
        <v>361658.2</v>
      </c>
      <c r="E2014" s="942" t="s">
        <v>1086</v>
      </c>
      <c r="F2014" s="943" t="s">
        <v>1087</v>
      </c>
      <c r="G2014" s="339">
        <v>361658.2</v>
      </c>
      <c r="H2014" s="941">
        <v>42625</v>
      </c>
      <c r="I2014" s="172"/>
      <c r="J2014" s="943"/>
      <c r="K2014" s="943"/>
      <c r="L2014" s="941"/>
      <c r="M2014" s="943"/>
      <c r="N2014" s="537">
        <v>0.95</v>
      </c>
      <c r="O2014" s="733"/>
      <c r="P2014" s="176"/>
      <c r="Q2014" s="201" t="s">
        <v>1114</v>
      </c>
      <c r="R2014" s="496"/>
      <c r="S2014" s="2"/>
      <c r="T2014" s="2"/>
      <c r="U2014" s="2"/>
      <c r="V2014" s="2"/>
    </row>
    <row r="2015" spans="1:22" s="8" customFormat="1" ht="39.75" customHeight="1" x14ac:dyDescent="0.25">
      <c r="A2015" s="1065"/>
      <c r="B2015" s="1076"/>
      <c r="C2015" s="281" t="s">
        <v>501</v>
      </c>
      <c r="D2015" s="208">
        <v>7811421.75</v>
      </c>
      <c r="E2015" s="948" t="s">
        <v>973</v>
      </c>
      <c r="F2015" s="947" t="s">
        <v>796</v>
      </c>
      <c r="G2015" s="208">
        <v>9000000</v>
      </c>
      <c r="H2015" s="950">
        <v>42633</v>
      </c>
      <c r="I2015" s="950">
        <v>42671</v>
      </c>
      <c r="J2015" s="947">
        <v>7811421.75</v>
      </c>
      <c r="K2015" s="947">
        <v>7811421.75</v>
      </c>
      <c r="L2015" s="950"/>
      <c r="M2015" s="947"/>
      <c r="N2015" s="534">
        <v>1</v>
      </c>
      <c r="O2015" s="704"/>
      <c r="P2015" s="176"/>
      <c r="Q2015" s="280" t="s">
        <v>1119</v>
      </c>
      <c r="R2015" s="496"/>
      <c r="S2015" s="2"/>
      <c r="T2015" s="2"/>
      <c r="U2015" s="2"/>
      <c r="V2015" s="2"/>
    </row>
    <row r="2016" spans="1:22" s="8" customFormat="1" ht="49.5" x14ac:dyDescent="0.25">
      <c r="A2016" s="1065"/>
      <c r="B2016" s="1076"/>
      <c r="C2016" s="356" t="s">
        <v>37</v>
      </c>
      <c r="D2016" s="357">
        <v>496911.09</v>
      </c>
      <c r="E2016" s="690" t="s">
        <v>621</v>
      </c>
      <c r="F2016" s="361" t="s">
        <v>614</v>
      </c>
      <c r="G2016" s="357">
        <f>421111.12*1.18</f>
        <v>496911.12159999995</v>
      </c>
      <c r="H2016" s="360">
        <v>42384</v>
      </c>
      <c r="I2016" s="360">
        <v>42452</v>
      </c>
      <c r="J2016" s="361">
        <v>421111.12</v>
      </c>
      <c r="K2016" s="361">
        <v>421111.12</v>
      </c>
      <c r="L2016" s="360">
        <v>42730</v>
      </c>
      <c r="M2016" s="361"/>
      <c r="N2016" s="539"/>
      <c r="O2016" s="466" t="s">
        <v>734</v>
      </c>
      <c r="P2016" s="176"/>
      <c r="Q2016" s="280"/>
      <c r="R2016" s="496"/>
      <c r="S2016" s="2"/>
      <c r="T2016" s="2"/>
      <c r="U2016" s="2"/>
      <c r="V2016" s="2"/>
    </row>
    <row r="2017" spans="1:22" s="11" customFormat="1" ht="33" outlineLevel="1" x14ac:dyDescent="0.25">
      <c r="A2017" s="1065"/>
      <c r="B2017" s="1076"/>
      <c r="C2017" s="549" t="s">
        <v>1095</v>
      </c>
      <c r="D2017" s="169">
        <v>274657.73639203602</v>
      </c>
      <c r="E2017" s="942"/>
      <c r="F2017" s="943"/>
      <c r="G2017" s="169"/>
      <c r="H2017" s="941"/>
      <c r="I2017" s="941"/>
      <c r="J2017" s="943"/>
      <c r="K2017" s="943"/>
      <c r="L2017" s="941"/>
      <c r="M2017" s="943"/>
      <c r="N2017" s="915"/>
      <c r="O2017" s="287"/>
      <c r="P2017" s="176"/>
      <c r="Q2017" s="280"/>
      <c r="R2017" s="335"/>
      <c r="S2017" s="2"/>
      <c r="T2017" s="2"/>
      <c r="U2017" s="2"/>
      <c r="V2017" s="2"/>
    </row>
    <row r="2018" spans="1:22" s="8" customFormat="1" ht="17.25" thickBot="1" x14ac:dyDescent="0.3">
      <c r="A2018" s="1066" t="s">
        <v>628</v>
      </c>
      <c r="B2018" s="1066"/>
      <c r="C2018" s="339"/>
      <c r="D2018" s="945">
        <f>SUM(D2011:D2017)</f>
        <v>25816195.056392036</v>
      </c>
      <c r="E2018" s="942"/>
      <c r="F2018" s="943"/>
      <c r="G2018" s="945">
        <f>SUM(G2011:G2016)</f>
        <v>26730115.601599999</v>
      </c>
      <c r="H2018" s="941"/>
      <c r="I2018" s="172"/>
      <c r="J2018" s="952">
        <f>SUM(J2011:J2016)</f>
        <v>8232532.8700000001</v>
      </c>
      <c r="K2018" s="945">
        <f>SUM(K2011:K2016)</f>
        <v>8232532.8700000001</v>
      </c>
      <c r="L2018" s="340"/>
      <c r="M2018" s="945"/>
      <c r="N2018" s="878">
        <f>AVERAGE(N2011:N2016)</f>
        <v>0.79</v>
      </c>
      <c r="O2018" s="713"/>
      <c r="P2018" s="176"/>
      <c r="Q2018" s="280"/>
      <c r="R2018" s="496"/>
      <c r="S2018" s="2"/>
      <c r="T2018" s="2"/>
      <c r="U2018" s="2"/>
      <c r="V2018" s="2"/>
    </row>
    <row r="2019" spans="1:22" s="8" customFormat="1" ht="31.5" customHeight="1" x14ac:dyDescent="0.25">
      <c r="A2019" s="1065">
        <v>68</v>
      </c>
      <c r="B2019" s="1064" t="s">
        <v>609</v>
      </c>
      <c r="C2019" s="281" t="s">
        <v>500</v>
      </c>
      <c r="D2019" s="208">
        <v>4845762.7</v>
      </c>
      <c r="E2019" s="948" t="s">
        <v>1081</v>
      </c>
      <c r="F2019" s="947" t="s">
        <v>804</v>
      </c>
      <c r="G2019" s="208">
        <v>5400000</v>
      </c>
      <c r="H2019" s="950">
        <v>42641</v>
      </c>
      <c r="I2019" s="950">
        <v>42661</v>
      </c>
      <c r="J2019" s="947">
        <v>4845762.7</v>
      </c>
      <c r="K2019" s="947">
        <v>4845762.7</v>
      </c>
      <c r="L2019" s="950"/>
      <c r="M2019" s="947"/>
      <c r="N2019" s="909">
        <v>1</v>
      </c>
      <c r="O2019" s="699"/>
      <c r="P2019" s="176"/>
      <c r="Q2019" s="201" t="s">
        <v>1121</v>
      </c>
      <c r="R2019" s="496"/>
      <c r="S2019" s="2"/>
      <c r="T2019" s="2"/>
      <c r="U2019" s="2"/>
      <c r="V2019" s="2"/>
    </row>
    <row r="2020" spans="1:22" s="8" customFormat="1" ht="49.5" x14ac:dyDescent="0.25">
      <c r="A2020" s="1065"/>
      <c r="B2020" s="1064"/>
      <c r="C2020" s="356" t="s">
        <v>37</v>
      </c>
      <c r="D2020" s="357">
        <v>98325.03</v>
      </c>
      <c r="E2020" s="690" t="s">
        <v>616</v>
      </c>
      <c r="F2020" s="361" t="s">
        <v>614</v>
      </c>
      <c r="G2020" s="357">
        <f>83326.3*1.18</f>
        <v>98325.034</v>
      </c>
      <c r="H2020" s="360">
        <v>42420</v>
      </c>
      <c r="I2020" s="360">
        <v>42577</v>
      </c>
      <c r="J2020" s="361">
        <v>83326.3</v>
      </c>
      <c r="K2020" s="361">
        <v>83326.3</v>
      </c>
      <c r="L2020" s="360"/>
      <c r="M2020" s="361"/>
      <c r="N2020" s="539"/>
      <c r="O2020" s="466" t="s">
        <v>877</v>
      </c>
      <c r="P2020" s="176"/>
      <c r="Q2020" s="497"/>
      <c r="R2020" s="496"/>
      <c r="S2020" s="2"/>
      <c r="T2020" s="2"/>
      <c r="U2020" s="2"/>
      <c r="V2020" s="2"/>
    </row>
    <row r="2021" spans="1:22" s="8" customFormat="1" ht="17.25" thickBot="1" x14ac:dyDescent="0.3">
      <c r="A2021" s="1066" t="s">
        <v>628</v>
      </c>
      <c r="B2021" s="1066"/>
      <c r="C2021" s="342"/>
      <c r="D2021" s="945">
        <f>SUM(D2019:D2020)</f>
        <v>4944087.7300000004</v>
      </c>
      <c r="E2021" s="942"/>
      <c r="F2021" s="943"/>
      <c r="G2021" s="945">
        <f>SUM(G2019:G2020)</f>
        <v>5498325.034</v>
      </c>
      <c r="H2021" s="941"/>
      <c r="I2021" s="172"/>
      <c r="J2021" s="952">
        <f>SUM(J2019:J2020)</f>
        <v>4929089</v>
      </c>
      <c r="K2021" s="945">
        <f>SUM(K2019:K2020)</f>
        <v>4929089</v>
      </c>
      <c r="L2021" s="340"/>
      <c r="M2021" s="945"/>
      <c r="N2021" s="878">
        <f>AVERAGE(N2019:N2020)</f>
        <v>1</v>
      </c>
      <c r="O2021" s="694"/>
      <c r="P2021" s="176"/>
      <c r="Q2021" s="497"/>
      <c r="R2021" s="496"/>
      <c r="S2021" s="2"/>
      <c r="T2021" s="2"/>
      <c r="U2021" s="2"/>
      <c r="V2021" s="2"/>
    </row>
    <row r="2022" spans="1:22" s="8" customFormat="1" ht="31.5" customHeight="1" x14ac:dyDescent="0.25">
      <c r="A2022" s="1065">
        <v>69</v>
      </c>
      <c r="B2022" s="1064" t="s">
        <v>426</v>
      </c>
      <c r="C2022" s="281" t="s">
        <v>500</v>
      </c>
      <c r="D2022" s="208">
        <v>7098210.9400000004</v>
      </c>
      <c r="E2022" s="948" t="s">
        <v>1069</v>
      </c>
      <c r="F2022" s="947" t="s">
        <v>661</v>
      </c>
      <c r="G2022" s="208">
        <v>7174501.4800000004</v>
      </c>
      <c r="H2022" s="950">
        <v>42671</v>
      </c>
      <c r="I2022" s="950">
        <v>42667</v>
      </c>
      <c r="J2022" s="947">
        <v>7098210.9400000004</v>
      </c>
      <c r="K2022" s="947">
        <v>7098210.9400000004</v>
      </c>
      <c r="L2022" s="950"/>
      <c r="M2022" s="947"/>
      <c r="N2022" s="909">
        <v>1</v>
      </c>
      <c r="O2022" s="699"/>
      <c r="P2022" s="176"/>
      <c r="Q2022" s="201" t="s">
        <v>1121</v>
      </c>
      <c r="R2022" s="496"/>
      <c r="S2022" s="2"/>
      <c r="T2022" s="2"/>
      <c r="U2022" s="2"/>
      <c r="V2022" s="2"/>
    </row>
    <row r="2023" spans="1:22" s="8" customFormat="1" ht="49.5" x14ac:dyDescent="0.25">
      <c r="A2023" s="1065"/>
      <c r="B2023" s="1064"/>
      <c r="C2023" s="356" t="s">
        <v>37</v>
      </c>
      <c r="D2023" s="357">
        <v>79991.47</v>
      </c>
      <c r="E2023" s="690" t="s">
        <v>616</v>
      </c>
      <c r="F2023" s="361" t="s">
        <v>614</v>
      </c>
      <c r="G2023" s="357">
        <f>67789.38*1.18</f>
        <v>79991.468399999998</v>
      </c>
      <c r="H2023" s="360">
        <v>42420</v>
      </c>
      <c r="I2023" s="360">
        <v>42577</v>
      </c>
      <c r="J2023" s="361">
        <v>67789.38</v>
      </c>
      <c r="K2023" s="361">
        <v>67789.38</v>
      </c>
      <c r="L2023" s="360"/>
      <c r="M2023" s="361"/>
      <c r="N2023" s="539"/>
      <c r="O2023" s="466" t="s">
        <v>734</v>
      </c>
      <c r="P2023" s="176"/>
      <c r="Q2023" s="497"/>
      <c r="R2023" s="496"/>
      <c r="S2023" s="2"/>
      <c r="T2023" s="2"/>
      <c r="U2023" s="2"/>
      <c r="V2023" s="2"/>
    </row>
    <row r="2024" spans="1:22" s="8" customFormat="1" ht="17.25" thickBot="1" x14ac:dyDescent="0.3">
      <c r="A2024" s="1066" t="s">
        <v>628</v>
      </c>
      <c r="B2024" s="1066"/>
      <c r="C2024" s="342"/>
      <c r="D2024" s="945">
        <f>SUM(D2022:D2023)</f>
        <v>7178202.4100000001</v>
      </c>
      <c r="E2024" s="942"/>
      <c r="F2024" s="943"/>
      <c r="G2024" s="945">
        <f>SUM(G2022:G2023)</f>
        <v>7254492.9484000001</v>
      </c>
      <c r="H2024" s="941"/>
      <c r="I2024" s="172"/>
      <c r="J2024" s="952">
        <f>SUM(J2022:J2023)</f>
        <v>7166000.3200000003</v>
      </c>
      <c r="K2024" s="945">
        <f>SUM(K2022:K2023)</f>
        <v>7166000.3200000003</v>
      </c>
      <c r="L2024" s="340"/>
      <c r="M2024" s="945"/>
      <c r="N2024" s="878">
        <f>AVERAGE(N2022:N2023)</f>
        <v>1</v>
      </c>
      <c r="O2024" s="694"/>
      <c r="P2024" s="176"/>
      <c r="Q2024" s="497"/>
      <c r="R2024" s="496"/>
      <c r="S2024" s="2"/>
      <c r="T2024" s="2"/>
      <c r="U2024" s="2"/>
      <c r="V2024" s="2"/>
    </row>
    <row r="2025" spans="1:22" s="8" customFormat="1" ht="33" x14ac:dyDescent="0.25">
      <c r="A2025" s="1065">
        <v>70</v>
      </c>
      <c r="B2025" s="1064" t="s">
        <v>427</v>
      </c>
      <c r="C2025" s="281" t="s">
        <v>500</v>
      </c>
      <c r="D2025" s="208">
        <v>9418990.8399999999</v>
      </c>
      <c r="E2025" s="948" t="s">
        <v>1069</v>
      </c>
      <c r="F2025" s="947" t="s">
        <v>661</v>
      </c>
      <c r="G2025" s="208">
        <v>8418990.8399999999</v>
      </c>
      <c r="H2025" s="950">
        <v>42671</v>
      </c>
      <c r="I2025" s="950">
        <v>42692</v>
      </c>
      <c r="J2025" s="947">
        <v>7629243.9800000004</v>
      </c>
      <c r="K2025" s="947">
        <v>7629243.9800000004</v>
      </c>
      <c r="L2025" s="950">
        <v>42716</v>
      </c>
      <c r="M2025" s="947"/>
      <c r="N2025" s="909">
        <v>1</v>
      </c>
      <c r="O2025" s="699"/>
      <c r="P2025" s="176"/>
      <c r="Q2025" s="497"/>
      <c r="R2025" s="496"/>
      <c r="S2025" s="2"/>
      <c r="T2025" s="2"/>
      <c r="U2025" s="2"/>
      <c r="V2025" s="2"/>
    </row>
    <row r="2026" spans="1:22" s="8" customFormat="1" ht="49.5" x14ac:dyDescent="0.25">
      <c r="A2026" s="1065"/>
      <c r="B2026" s="1064"/>
      <c r="C2026" s="356" t="s">
        <v>37</v>
      </c>
      <c r="D2026" s="357">
        <v>88032.78</v>
      </c>
      <c r="E2026" s="690" t="s">
        <v>616</v>
      </c>
      <c r="F2026" s="361" t="s">
        <v>614</v>
      </c>
      <c r="G2026" s="357">
        <f>74604.05*1.18</f>
        <v>88032.778999999995</v>
      </c>
      <c r="H2026" s="360">
        <v>42420</v>
      </c>
      <c r="I2026" s="360">
        <v>42577</v>
      </c>
      <c r="J2026" s="361">
        <v>74604.05</v>
      </c>
      <c r="K2026" s="361">
        <v>74604.05</v>
      </c>
      <c r="L2026" s="360"/>
      <c r="M2026" s="361"/>
      <c r="N2026" s="539"/>
      <c r="O2026" s="466" t="s">
        <v>734</v>
      </c>
      <c r="P2026" s="176"/>
      <c r="Q2026" s="497"/>
      <c r="R2026" s="496"/>
      <c r="S2026" s="2"/>
      <c r="T2026" s="2"/>
      <c r="U2026" s="2"/>
      <c r="V2026" s="2"/>
    </row>
    <row r="2027" spans="1:22" s="11" customFormat="1" ht="33" outlineLevel="1" x14ac:dyDescent="0.25">
      <c r="A2027" s="1065"/>
      <c r="B2027" s="1064"/>
      <c r="C2027" s="549" t="s">
        <v>1095</v>
      </c>
      <c r="D2027" s="169">
        <v>92744.911375020805</v>
      </c>
      <c r="E2027" s="942"/>
      <c r="F2027" s="943"/>
      <c r="G2027" s="169"/>
      <c r="H2027" s="941"/>
      <c r="I2027" s="941"/>
      <c r="J2027" s="943"/>
      <c r="K2027" s="943"/>
      <c r="L2027" s="941"/>
      <c r="M2027" s="943"/>
      <c r="N2027" s="915"/>
      <c r="O2027" s="287"/>
      <c r="P2027" s="176"/>
      <c r="Q2027" s="446"/>
      <c r="R2027" s="335"/>
      <c r="S2027" s="2"/>
      <c r="T2027" s="2"/>
      <c r="U2027" s="2"/>
      <c r="V2027" s="2"/>
    </row>
    <row r="2028" spans="1:22" s="8" customFormat="1" ht="17.25" thickBot="1" x14ac:dyDescent="0.3">
      <c r="A2028" s="1066" t="s">
        <v>628</v>
      </c>
      <c r="B2028" s="1066"/>
      <c r="C2028" s="342"/>
      <c r="D2028" s="945">
        <f>SUM(D2025:D2027)</f>
        <v>9599768.5313750207</v>
      </c>
      <c r="E2028" s="942"/>
      <c r="F2028" s="943"/>
      <c r="G2028" s="945">
        <f>SUM(G2025:G2026)</f>
        <v>8507023.618999999</v>
      </c>
      <c r="H2028" s="941"/>
      <c r="I2028" s="172"/>
      <c r="J2028" s="952">
        <f>SUM(J2025:J2026)</f>
        <v>7703848.0300000003</v>
      </c>
      <c r="K2028" s="945">
        <f>SUM(K2025:K2026)</f>
        <v>7703848.0300000003</v>
      </c>
      <c r="L2028" s="340"/>
      <c r="M2028" s="945"/>
      <c r="N2028" s="878">
        <f>AVERAGE(N2025:N2026)</f>
        <v>1</v>
      </c>
      <c r="O2028" s="707"/>
      <c r="P2028" s="176"/>
      <c r="Q2028" s="497"/>
      <c r="R2028" s="496"/>
      <c r="S2028" s="2"/>
      <c r="T2028" s="2"/>
      <c r="U2028" s="2"/>
      <c r="V2028" s="2"/>
    </row>
    <row r="2029" spans="1:22" s="8" customFormat="1" ht="31.5" customHeight="1" x14ac:dyDescent="0.25">
      <c r="A2029" s="1065">
        <v>71</v>
      </c>
      <c r="B2029" s="1064" t="s">
        <v>428</v>
      </c>
      <c r="C2029" s="281" t="s">
        <v>500</v>
      </c>
      <c r="D2029" s="208">
        <v>13220838.300000001</v>
      </c>
      <c r="E2029" s="948" t="s">
        <v>1069</v>
      </c>
      <c r="F2029" s="947" t="s">
        <v>661</v>
      </c>
      <c r="G2029" s="208">
        <v>11220838.300000001</v>
      </c>
      <c r="H2029" s="950">
        <v>42671</v>
      </c>
      <c r="I2029" s="950">
        <v>42692</v>
      </c>
      <c r="J2029" s="947">
        <v>9963936.5199999996</v>
      </c>
      <c r="K2029" s="947">
        <v>9963936.5199999996</v>
      </c>
      <c r="L2029" s="950">
        <v>42719</v>
      </c>
      <c r="M2029" s="947"/>
      <c r="N2029" s="909">
        <v>1</v>
      </c>
      <c r="O2029" s="699"/>
      <c r="P2029" s="176"/>
      <c r="Q2029" s="497"/>
      <c r="R2029" s="496"/>
      <c r="S2029" s="2"/>
      <c r="T2029" s="2"/>
      <c r="U2029" s="2"/>
      <c r="V2029" s="2"/>
    </row>
    <row r="2030" spans="1:22" s="8" customFormat="1" ht="49.5" x14ac:dyDescent="0.25">
      <c r="A2030" s="1065"/>
      <c r="B2030" s="1064"/>
      <c r="C2030" s="356" t="s">
        <v>37</v>
      </c>
      <c r="D2030" s="357">
        <v>99585.77</v>
      </c>
      <c r="E2030" s="690" t="s">
        <v>616</v>
      </c>
      <c r="F2030" s="361" t="s">
        <v>614</v>
      </c>
      <c r="G2030" s="357">
        <f>84394.72*1.18</f>
        <v>99585.7696</v>
      </c>
      <c r="H2030" s="360">
        <v>42420</v>
      </c>
      <c r="I2030" s="360">
        <v>42577</v>
      </c>
      <c r="J2030" s="361">
        <v>84394.72</v>
      </c>
      <c r="K2030" s="361">
        <v>84394.72</v>
      </c>
      <c r="L2030" s="360"/>
      <c r="M2030" s="361"/>
      <c r="N2030" s="539"/>
      <c r="O2030" s="466" t="s">
        <v>688</v>
      </c>
      <c r="P2030" s="176"/>
      <c r="Q2030" s="497"/>
      <c r="R2030" s="496"/>
      <c r="S2030" s="2"/>
      <c r="T2030" s="2"/>
      <c r="U2030" s="2"/>
      <c r="V2030" s="2"/>
    </row>
    <row r="2031" spans="1:22" s="11" customFormat="1" ht="33" outlineLevel="1" x14ac:dyDescent="0.25">
      <c r="A2031" s="1065"/>
      <c r="B2031" s="1064"/>
      <c r="C2031" s="549" t="s">
        <v>1095</v>
      </c>
      <c r="D2031" s="169">
        <v>97470.3815119426</v>
      </c>
      <c r="E2031" s="942"/>
      <c r="F2031" s="943"/>
      <c r="G2031" s="169"/>
      <c r="H2031" s="941"/>
      <c r="I2031" s="941"/>
      <c r="J2031" s="943"/>
      <c r="K2031" s="943"/>
      <c r="L2031" s="941"/>
      <c r="M2031" s="943"/>
      <c r="N2031" s="915"/>
      <c r="O2031" s="287"/>
      <c r="P2031" s="176"/>
      <c r="Q2031" s="446"/>
      <c r="R2031" s="335"/>
      <c r="S2031" s="2"/>
      <c r="T2031" s="2"/>
      <c r="U2031" s="2"/>
      <c r="V2031" s="2"/>
    </row>
    <row r="2032" spans="1:22" s="8" customFormat="1" ht="17.25" thickBot="1" x14ac:dyDescent="0.3">
      <c r="A2032" s="1066" t="s">
        <v>628</v>
      </c>
      <c r="B2032" s="1066"/>
      <c r="C2032" s="342"/>
      <c r="D2032" s="945">
        <f>SUM(D2029:D2031)</f>
        <v>13417894.451511944</v>
      </c>
      <c r="E2032" s="942"/>
      <c r="F2032" s="943"/>
      <c r="G2032" s="945">
        <f>SUM(G2029:G2030)</f>
        <v>11320424.069600001</v>
      </c>
      <c r="H2032" s="941"/>
      <c r="I2032" s="172"/>
      <c r="J2032" s="952">
        <f>SUM(J2029:J2030)</f>
        <v>10048331.24</v>
      </c>
      <c r="K2032" s="945">
        <f>SUM(K2029:K2030)</f>
        <v>10048331.24</v>
      </c>
      <c r="L2032" s="340"/>
      <c r="M2032" s="945"/>
      <c r="N2032" s="878">
        <f>AVERAGE(N2029:N2030)</f>
        <v>1</v>
      </c>
      <c r="O2032" s="694"/>
      <c r="P2032" s="176"/>
      <c r="Q2032" s="497"/>
      <c r="R2032" s="496"/>
      <c r="S2032" s="2"/>
      <c r="T2032" s="2"/>
      <c r="U2032" s="2"/>
      <c r="V2032" s="2"/>
    </row>
    <row r="2033" spans="1:22" s="8" customFormat="1" ht="33" x14ac:dyDescent="0.25">
      <c r="A2033" s="940">
        <v>72</v>
      </c>
      <c r="B2033" s="940" t="s">
        <v>1475</v>
      </c>
      <c r="C2033" s="342" t="s">
        <v>37</v>
      </c>
      <c r="D2033" s="339">
        <v>99391.16</v>
      </c>
      <c r="E2033" s="942"/>
      <c r="F2033" s="943"/>
      <c r="G2033" s="945"/>
      <c r="H2033" s="941"/>
      <c r="I2033" s="172"/>
      <c r="J2033" s="339"/>
      <c r="K2033" s="945"/>
      <c r="L2033" s="340"/>
      <c r="M2033" s="945"/>
      <c r="N2033" s="586"/>
      <c r="O2033" s="839"/>
      <c r="P2033" s="176"/>
      <c r="Q2033" s="497"/>
      <c r="R2033" s="496"/>
      <c r="S2033" s="2"/>
      <c r="T2033" s="2"/>
      <c r="U2033" s="2"/>
      <c r="V2033" s="2"/>
    </row>
    <row r="2034" spans="1:22" s="8" customFormat="1" ht="17.25" thickBot="1" x14ac:dyDescent="0.3">
      <c r="A2034" s="1066" t="s">
        <v>628</v>
      </c>
      <c r="B2034" s="1066"/>
      <c r="C2034" s="342"/>
      <c r="D2034" s="945">
        <f>SUM(D2033:D2033)</f>
        <v>99391.16</v>
      </c>
      <c r="E2034" s="942"/>
      <c r="F2034" s="943"/>
      <c r="G2034" s="945">
        <f>SUM(G2033:G2033)</f>
        <v>0</v>
      </c>
      <c r="H2034" s="941"/>
      <c r="I2034" s="172"/>
      <c r="J2034" s="339">
        <f>SUM(J2033:J2033)</f>
        <v>0</v>
      </c>
      <c r="K2034" s="945">
        <f>SUM(K2033:K2033)</f>
        <v>0</v>
      </c>
      <c r="L2034" s="340"/>
      <c r="M2034" s="945"/>
      <c r="N2034" s="878">
        <f>AVERAGE(N2032:N2032)</f>
        <v>1</v>
      </c>
      <c r="O2034" s="694"/>
      <c r="P2034" s="176"/>
      <c r="Q2034" s="497"/>
      <c r="R2034" s="496"/>
      <c r="S2034" s="2"/>
      <c r="T2034" s="2"/>
      <c r="U2034" s="2"/>
      <c r="V2034" s="2"/>
    </row>
    <row r="2035" spans="1:22" s="8" customFormat="1" ht="31.5" customHeight="1" x14ac:dyDescent="0.25">
      <c r="A2035" s="1065">
        <v>73</v>
      </c>
      <c r="B2035" s="1064" t="s">
        <v>429</v>
      </c>
      <c r="C2035" s="281" t="s">
        <v>500</v>
      </c>
      <c r="D2035" s="208">
        <v>4143944.02</v>
      </c>
      <c r="E2035" s="948" t="s">
        <v>1013</v>
      </c>
      <c r="F2035" s="947" t="s">
        <v>794</v>
      </c>
      <c r="G2035" s="208">
        <v>7649000</v>
      </c>
      <c r="H2035" s="950">
        <v>42638</v>
      </c>
      <c r="I2035" s="950">
        <v>42667</v>
      </c>
      <c r="J2035" s="947">
        <v>4143944.02</v>
      </c>
      <c r="K2035" s="947">
        <v>4143944.02</v>
      </c>
      <c r="L2035" s="950"/>
      <c r="M2035" s="947"/>
      <c r="N2035" s="909">
        <v>1</v>
      </c>
      <c r="O2035" s="699"/>
      <c r="P2035" s="176"/>
      <c r="Q2035" s="201" t="s">
        <v>1114</v>
      </c>
      <c r="R2035" s="496"/>
      <c r="S2035" s="2"/>
      <c r="T2035" s="2"/>
      <c r="U2035" s="2"/>
      <c r="V2035" s="2"/>
    </row>
    <row r="2036" spans="1:22" s="8" customFormat="1" ht="49.5" x14ac:dyDescent="0.25">
      <c r="A2036" s="1065"/>
      <c r="B2036" s="1064"/>
      <c r="C2036" s="356" t="s">
        <v>37</v>
      </c>
      <c r="D2036" s="357">
        <v>103868.49</v>
      </c>
      <c r="E2036" s="690" t="s">
        <v>616</v>
      </c>
      <c r="F2036" s="361" t="s">
        <v>614</v>
      </c>
      <c r="G2036" s="357">
        <f>88024.14*1.18</f>
        <v>103868.4852</v>
      </c>
      <c r="H2036" s="360">
        <v>42420</v>
      </c>
      <c r="I2036" s="360">
        <v>42570</v>
      </c>
      <c r="J2036" s="361">
        <v>88024.14</v>
      </c>
      <c r="K2036" s="361">
        <v>88024.14</v>
      </c>
      <c r="L2036" s="360"/>
      <c r="M2036" s="361"/>
      <c r="N2036" s="539"/>
      <c r="O2036" s="466" t="s">
        <v>734</v>
      </c>
      <c r="P2036" s="176"/>
      <c r="Q2036" s="497"/>
      <c r="R2036" s="496"/>
      <c r="S2036" s="2"/>
      <c r="T2036" s="2"/>
      <c r="U2036" s="2"/>
      <c r="V2036" s="2"/>
    </row>
    <row r="2037" spans="1:22" s="8" customFormat="1" ht="17.25" thickBot="1" x14ac:dyDescent="0.3">
      <c r="A2037" s="1066" t="s">
        <v>628</v>
      </c>
      <c r="B2037" s="1066"/>
      <c r="C2037" s="342"/>
      <c r="D2037" s="945">
        <f>SUM(D2035:D2036)</f>
        <v>4247812.51</v>
      </c>
      <c r="E2037" s="942"/>
      <c r="F2037" s="943"/>
      <c r="G2037" s="945">
        <f>SUM(G2035:G2036)</f>
        <v>7752868.4852</v>
      </c>
      <c r="H2037" s="941"/>
      <c r="I2037" s="172"/>
      <c r="J2037" s="952">
        <f>SUM(J2035:J2036)</f>
        <v>4231968.16</v>
      </c>
      <c r="K2037" s="945">
        <f>SUM(K2035:K2036)</f>
        <v>4231968.16</v>
      </c>
      <c r="L2037" s="340"/>
      <c r="M2037" s="945"/>
      <c r="N2037" s="878">
        <f>AVERAGE(N2035:N2036)</f>
        <v>1</v>
      </c>
      <c r="O2037" s="707"/>
      <c r="P2037" s="176"/>
      <c r="Q2037" s="497"/>
      <c r="R2037" s="496"/>
      <c r="S2037" s="2"/>
      <c r="T2037" s="2"/>
      <c r="U2037" s="2"/>
      <c r="V2037" s="2"/>
    </row>
    <row r="2038" spans="1:22" s="8" customFormat="1" ht="31.5" customHeight="1" x14ac:dyDescent="0.25">
      <c r="A2038" s="1065">
        <v>74</v>
      </c>
      <c r="B2038" s="1064" t="s">
        <v>430</v>
      </c>
      <c r="C2038" s="281" t="s">
        <v>500</v>
      </c>
      <c r="D2038" s="208">
        <v>1900502.85</v>
      </c>
      <c r="E2038" s="948" t="s">
        <v>1105</v>
      </c>
      <c r="F2038" s="947" t="s">
        <v>794</v>
      </c>
      <c r="G2038" s="208">
        <v>3580000</v>
      </c>
      <c r="H2038" s="950">
        <v>42655</v>
      </c>
      <c r="I2038" s="950">
        <v>42665</v>
      </c>
      <c r="J2038" s="947">
        <v>1900502.85</v>
      </c>
      <c r="K2038" s="947">
        <v>1900502.85</v>
      </c>
      <c r="L2038" s="950">
        <v>42695</v>
      </c>
      <c r="M2038" s="947"/>
      <c r="N2038" s="909">
        <v>1</v>
      </c>
      <c r="O2038" s="699"/>
      <c r="P2038" s="176"/>
      <c r="Q2038" s="201" t="s">
        <v>1114</v>
      </c>
      <c r="R2038" s="496"/>
      <c r="S2038" s="2"/>
      <c r="T2038" s="2"/>
      <c r="U2038" s="2"/>
      <c r="V2038" s="2"/>
    </row>
    <row r="2039" spans="1:22" s="8" customFormat="1" ht="49.5" x14ac:dyDescent="0.25">
      <c r="A2039" s="1065"/>
      <c r="B2039" s="1064"/>
      <c r="C2039" s="356" t="s">
        <v>37</v>
      </c>
      <c r="D2039" s="357">
        <v>95332.18</v>
      </c>
      <c r="E2039" s="690" t="s">
        <v>616</v>
      </c>
      <c r="F2039" s="361" t="s">
        <v>614</v>
      </c>
      <c r="G2039" s="357">
        <f>80789.98*1.18</f>
        <v>95332.176399999997</v>
      </c>
      <c r="H2039" s="360">
        <v>42420</v>
      </c>
      <c r="I2039" s="360">
        <v>42620</v>
      </c>
      <c r="J2039" s="361">
        <v>80789.98</v>
      </c>
      <c r="K2039" s="361">
        <v>80789.98</v>
      </c>
      <c r="L2039" s="360"/>
      <c r="M2039" s="361"/>
      <c r="N2039" s="539"/>
      <c r="O2039" s="466" t="s">
        <v>734</v>
      </c>
      <c r="P2039" s="176"/>
      <c r="Q2039" s="497"/>
      <c r="R2039" s="496"/>
      <c r="S2039" s="2"/>
      <c r="T2039" s="2"/>
      <c r="U2039" s="2"/>
      <c r="V2039" s="2"/>
    </row>
    <row r="2040" spans="1:22" s="8" customFormat="1" ht="17.25" thickBot="1" x14ac:dyDescent="0.3">
      <c r="A2040" s="1066" t="s">
        <v>628</v>
      </c>
      <c r="B2040" s="1066"/>
      <c r="C2040" s="342"/>
      <c r="D2040" s="945">
        <f>SUM(D2038:D2039)</f>
        <v>1995835.03</v>
      </c>
      <c r="E2040" s="942"/>
      <c r="F2040" s="943"/>
      <c r="G2040" s="945">
        <f>SUM(G2038:G2039)</f>
        <v>3675332.1764000002</v>
      </c>
      <c r="H2040" s="941"/>
      <c r="I2040" s="172"/>
      <c r="J2040" s="952">
        <f>SUM(J2038:J2039)</f>
        <v>1981292.83</v>
      </c>
      <c r="K2040" s="945">
        <f>SUM(K2038:K2039)</f>
        <v>1981292.83</v>
      </c>
      <c r="L2040" s="340"/>
      <c r="M2040" s="945"/>
      <c r="N2040" s="878">
        <f>AVERAGE(N2038:N2039)</f>
        <v>1</v>
      </c>
      <c r="O2040" s="694"/>
      <c r="P2040" s="176"/>
      <c r="Q2040" s="497"/>
      <c r="R2040" s="496"/>
      <c r="S2040" s="2"/>
      <c r="T2040" s="2"/>
      <c r="U2040" s="2"/>
      <c r="V2040" s="2"/>
    </row>
    <row r="2041" spans="1:22" s="8" customFormat="1" ht="31.5" customHeight="1" x14ac:dyDescent="0.25">
      <c r="A2041" s="1065">
        <v>75</v>
      </c>
      <c r="B2041" s="1076" t="s">
        <v>431</v>
      </c>
      <c r="C2041" s="281" t="s">
        <v>500</v>
      </c>
      <c r="D2041" s="208">
        <v>8666526.2699999996</v>
      </c>
      <c r="E2041" s="948" t="s">
        <v>748</v>
      </c>
      <c r="F2041" s="947" t="s">
        <v>741</v>
      </c>
      <c r="G2041" s="208">
        <v>10292425.5</v>
      </c>
      <c r="H2041" s="950">
        <v>42505</v>
      </c>
      <c r="I2041" s="950">
        <v>42520</v>
      </c>
      <c r="J2041" s="947">
        <v>8666526.2699999996</v>
      </c>
      <c r="K2041" s="947">
        <v>8666526.2699999996</v>
      </c>
      <c r="L2041" s="950"/>
      <c r="M2041" s="947">
        <f>J2041-D2041</f>
        <v>0</v>
      </c>
      <c r="N2041" s="909">
        <v>1</v>
      </c>
      <c r="O2041" s="718"/>
      <c r="P2041" s="176"/>
      <c r="Q2041" s="497"/>
      <c r="R2041" s="496"/>
      <c r="S2041" s="2"/>
      <c r="T2041" s="2"/>
      <c r="U2041" s="2"/>
      <c r="V2041" s="2"/>
    </row>
    <row r="2042" spans="1:22" s="8" customFormat="1" ht="49.5" x14ac:dyDescent="0.25">
      <c r="A2042" s="1065"/>
      <c r="B2042" s="1076"/>
      <c r="C2042" s="356" t="s">
        <v>37</v>
      </c>
      <c r="D2042" s="357">
        <v>98524.49</v>
      </c>
      <c r="E2042" s="690" t="s">
        <v>621</v>
      </c>
      <c r="F2042" s="361" t="s">
        <v>614</v>
      </c>
      <c r="G2042" s="357">
        <f>83495.34*1.18</f>
        <v>98524.501199999984</v>
      </c>
      <c r="H2042" s="360">
        <v>42384</v>
      </c>
      <c r="I2042" s="360">
        <v>42403</v>
      </c>
      <c r="J2042" s="361">
        <v>83495.34</v>
      </c>
      <c r="K2042" s="361">
        <v>83495.340000000011</v>
      </c>
      <c r="L2042" s="360">
        <v>42732</v>
      </c>
      <c r="M2042" s="361"/>
      <c r="N2042" s="539"/>
      <c r="O2042" s="466" t="s">
        <v>734</v>
      </c>
      <c r="P2042" s="176"/>
      <c r="Q2042" s="497"/>
      <c r="R2042" s="496"/>
      <c r="S2042" s="2"/>
      <c r="T2042" s="2"/>
      <c r="U2042" s="2"/>
      <c r="V2042" s="2"/>
    </row>
    <row r="2043" spans="1:22" s="8" customFormat="1" ht="17.25" thickBot="1" x14ac:dyDescent="0.3">
      <c r="A2043" s="1066" t="s">
        <v>628</v>
      </c>
      <c r="B2043" s="1066"/>
      <c r="C2043" s="342"/>
      <c r="D2043" s="945">
        <f>SUM(D2041:D2042)</f>
        <v>8765050.7599999998</v>
      </c>
      <c r="E2043" s="942"/>
      <c r="F2043" s="943"/>
      <c r="G2043" s="945">
        <f>SUM(G2041:G2042)</f>
        <v>10390950.0012</v>
      </c>
      <c r="H2043" s="941"/>
      <c r="I2043" s="172"/>
      <c r="J2043" s="952">
        <f t="shared" ref="J2043" si="144">SUM(J2041:J2042)</f>
        <v>8750021.6099999994</v>
      </c>
      <c r="K2043" s="945">
        <f>SUM(K2041:K2042)</f>
        <v>8750021.6099999994</v>
      </c>
      <c r="L2043" s="340"/>
      <c r="M2043" s="945"/>
      <c r="N2043" s="878">
        <f>AVERAGE(N2041:N2042)</f>
        <v>1</v>
      </c>
      <c r="O2043" s="694"/>
      <c r="P2043" s="176"/>
      <c r="Q2043" s="497"/>
      <c r="R2043" s="496"/>
      <c r="S2043" s="2"/>
      <c r="T2043" s="2"/>
      <c r="U2043" s="2"/>
      <c r="V2043" s="2"/>
    </row>
    <row r="2044" spans="1:22" s="56" customFormat="1" ht="31.5" customHeight="1" x14ac:dyDescent="0.25">
      <c r="A2044" s="1065">
        <v>76</v>
      </c>
      <c r="B2044" s="1064" t="s">
        <v>432</v>
      </c>
      <c r="C2044" s="281" t="s">
        <v>500</v>
      </c>
      <c r="D2044" s="208">
        <v>8258445.5</v>
      </c>
      <c r="E2044" s="948" t="s">
        <v>1062</v>
      </c>
      <c r="F2044" s="947" t="s">
        <v>816</v>
      </c>
      <c r="G2044" s="208">
        <v>7258445.5</v>
      </c>
      <c r="H2044" s="950">
        <v>42703</v>
      </c>
      <c r="I2044" s="950">
        <v>42719</v>
      </c>
      <c r="J2044" s="947">
        <v>6631149.2400000002</v>
      </c>
      <c r="K2044" s="947">
        <v>6631149.2400000002</v>
      </c>
      <c r="L2044" s="950"/>
      <c r="M2044" s="947"/>
      <c r="N2044" s="909">
        <v>0.95</v>
      </c>
      <c r="O2044" s="718"/>
      <c r="P2044" s="457"/>
      <c r="Q2044" s="622"/>
      <c r="R2044" s="626"/>
      <c r="S2044" s="70"/>
      <c r="T2044" s="70"/>
      <c r="U2044" s="70"/>
      <c r="V2044" s="70"/>
    </row>
    <row r="2045" spans="1:22" s="8" customFormat="1" ht="49.5" x14ac:dyDescent="0.25">
      <c r="A2045" s="1065"/>
      <c r="B2045" s="1064"/>
      <c r="C2045" s="356" t="s">
        <v>37</v>
      </c>
      <c r="D2045" s="357">
        <v>100788.45</v>
      </c>
      <c r="E2045" s="690" t="s">
        <v>616</v>
      </c>
      <c r="F2045" s="361" t="s">
        <v>614</v>
      </c>
      <c r="G2045" s="357">
        <f>85413.94*1.18</f>
        <v>100788.4492</v>
      </c>
      <c r="H2045" s="360">
        <v>42420</v>
      </c>
      <c r="I2045" s="360">
        <v>42570</v>
      </c>
      <c r="J2045" s="361">
        <v>85413.94</v>
      </c>
      <c r="K2045" s="361">
        <v>85413.94</v>
      </c>
      <c r="L2045" s="360"/>
      <c r="M2045" s="361"/>
      <c r="N2045" s="539"/>
      <c r="O2045" s="466" t="s">
        <v>734</v>
      </c>
      <c r="P2045" s="176"/>
      <c r="Q2045" s="497"/>
      <c r="R2045" s="496"/>
      <c r="S2045" s="2"/>
      <c r="T2045" s="2"/>
      <c r="U2045" s="2"/>
      <c r="V2045" s="2"/>
    </row>
    <row r="2046" spans="1:22" s="11" customFormat="1" ht="33" outlineLevel="1" x14ac:dyDescent="0.25">
      <c r="A2046" s="1065"/>
      <c r="B2046" s="1064"/>
      <c r="C2046" s="549" t="s">
        <v>1095</v>
      </c>
      <c r="D2046" s="169">
        <v>52268.429996203296</v>
      </c>
      <c r="E2046" s="942"/>
      <c r="F2046" s="943"/>
      <c r="G2046" s="169"/>
      <c r="H2046" s="941"/>
      <c r="I2046" s="941"/>
      <c r="J2046" s="943"/>
      <c r="K2046" s="943"/>
      <c r="L2046" s="941"/>
      <c r="M2046" s="943"/>
      <c r="N2046" s="915"/>
      <c r="O2046" s="287"/>
      <c r="P2046" s="176"/>
      <c r="Q2046" s="446"/>
      <c r="R2046" s="335"/>
      <c r="S2046" s="2"/>
      <c r="T2046" s="2"/>
      <c r="U2046" s="2"/>
      <c r="V2046" s="2"/>
    </row>
    <row r="2047" spans="1:22" s="8" customFormat="1" ht="17.25" thickBot="1" x14ac:dyDescent="0.3">
      <c r="A2047" s="1066" t="s">
        <v>628</v>
      </c>
      <c r="B2047" s="1066"/>
      <c r="C2047" s="342"/>
      <c r="D2047" s="945">
        <f>SUM(D2044:D2046)</f>
        <v>8411502.3799962029</v>
      </c>
      <c r="E2047" s="942"/>
      <c r="F2047" s="943"/>
      <c r="G2047" s="945">
        <f>SUM(G2044:G2045)</f>
        <v>7359233.9491999997</v>
      </c>
      <c r="H2047" s="941"/>
      <c r="I2047" s="172"/>
      <c r="J2047" s="952">
        <f>SUM(J2044:J2045)</f>
        <v>6716563.1800000006</v>
      </c>
      <c r="K2047" s="945">
        <f>SUM(K2044:K2045)</f>
        <v>6716563.1800000006</v>
      </c>
      <c r="L2047" s="340"/>
      <c r="M2047" s="945"/>
      <c r="N2047" s="878">
        <f>AVERAGE(N2044:N2045)</f>
        <v>0.95</v>
      </c>
      <c r="O2047" s="694"/>
      <c r="P2047" s="176"/>
      <c r="Q2047" s="497"/>
      <c r="R2047" s="496"/>
      <c r="S2047" s="2"/>
      <c r="T2047" s="2"/>
      <c r="U2047" s="2"/>
      <c r="V2047" s="2"/>
    </row>
    <row r="2048" spans="1:22" s="56" customFormat="1" ht="31.5" customHeight="1" x14ac:dyDescent="0.25">
      <c r="A2048" s="1065">
        <v>77</v>
      </c>
      <c r="B2048" s="1064" t="s">
        <v>433</v>
      </c>
      <c r="C2048" s="281" t="s">
        <v>500</v>
      </c>
      <c r="D2048" s="208">
        <v>9398584.3599999994</v>
      </c>
      <c r="E2048" s="948" t="s">
        <v>1062</v>
      </c>
      <c r="F2048" s="947" t="s">
        <v>816</v>
      </c>
      <c r="G2048" s="208">
        <v>9398584.3599999994</v>
      </c>
      <c r="H2048" s="950">
        <v>42673</v>
      </c>
      <c r="I2048" s="950">
        <v>42719</v>
      </c>
      <c r="J2048" s="947">
        <v>7715936.2199999997</v>
      </c>
      <c r="K2048" s="947">
        <v>7715936.2199999997</v>
      </c>
      <c r="L2048" s="950"/>
      <c r="M2048" s="947"/>
      <c r="N2048" s="909">
        <v>0.8</v>
      </c>
      <c r="O2048" s="718"/>
      <c r="P2048" s="457"/>
      <c r="Q2048" s="622"/>
      <c r="R2048" s="626"/>
      <c r="S2048" s="70"/>
      <c r="T2048" s="70"/>
      <c r="U2048" s="70"/>
      <c r="V2048" s="70"/>
    </row>
    <row r="2049" spans="1:22" s="8" customFormat="1" ht="49.5" x14ac:dyDescent="0.25">
      <c r="A2049" s="1065"/>
      <c r="B2049" s="1064"/>
      <c r="C2049" s="356" t="s">
        <v>37</v>
      </c>
      <c r="D2049" s="357">
        <v>96543.27</v>
      </c>
      <c r="E2049" s="690" t="s">
        <v>616</v>
      </c>
      <c r="F2049" s="361" t="s">
        <v>614</v>
      </c>
      <c r="G2049" s="357">
        <f>81816.33*1.18</f>
        <v>96543.26939999999</v>
      </c>
      <c r="H2049" s="360">
        <v>42420</v>
      </c>
      <c r="I2049" s="360">
        <v>42570</v>
      </c>
      <c r="J2049" s="361">
        <v>81816.33</v>
      </c>
      <c r="K2049" s="361">
        <v>81816.33</v>
      </c>
      <c r="L2049" s="360"/>
      <c r="M2049" s="361"/>
      <c r="N2049" s="553"/>
      <c r="O2049" s="466" t="s">
        <v>734</v>
      </c>
      <c r="P2049" s="176"/>
      <c r="Q2049" s="497"/>
      <c r="R2049" s="496"/>
      <c r="S2049" s="2"/>
      <c r="T2049" s="2"/>
      <c r="U2049" s="2"/>
      <c r="V2049" s="2"/>
    </row>
    <row r="2050" spans="1:22" s="11" customFormat="1" ht="33" outlineLevel="1" x14ac:dyDescent="0.25">
      <c r="A2050" s="1065"/>
      <c r="B2050" s="1064"/>
      <c r="C2050" s="549" t="s">
        <v>1095</v>
      </c>
      <c r="D2050" s="169">
        <v>63252.085225556802</v>
      </c>
      <c r="E2050" s="942"/>
      <c r="F2050" s="943"/>
      <c r="G2050" s="169"/>
      <c r="H2050" s="941"/>
      <c r="I2050" s="941"/>
      <c r="J2050" s="943"/>
      <c r="K2050" s="943"/>
      <c r="L2050" s="941"/>
      <c r="M2050" s="943"/>
      <c r="N2050" s="915"/>
      <c r="O2050" s="287"/>
      <c r="P2050" s="176"/>
      <c r="Q2050" s="446"/>
      <c r="R2050" s="335"/>
      <c r="S2050" s="2"/>
      <c r="T2050" s="2"/>
      <c r="U2050" s="2"/>
      <c r="V2050" s="2"/>
    </row>
    <row r="2051" spans="1:22" s="8" customFormat="1" ht="17.25" thickBot="1" x14ac:dyDescent="0.3">
      <c r="A2051" s="1066" t="s">
        <v>628</v>
      </c>
      <c r="B2051" s="1066"/>
      <c r="C2051" s="342"/>
      <c r="D2051" s="945">
        <f>SUM(D2048:D2050)</f>
        <v>9558379.715225555</v>
      </c>
      <c r="E2051" s="942"/>
      <c r="F2051" s="943"/>
      <c r="G2051" s="945">
        <f>SUM(G2048:G2049)</f>
        <v>9495127.6294</v>
      </c>
      <c r="H2051" s="941"/>
      <c r="I2051" s="172"/>
      <c r="J2051" s="952">
        <f>SUM(J2048:J2049)</f>
        <v>7797752.5499999998</v>
      </c>
      <c r="K2051" s="945">
        <f>SUM(K2048:K2049)</f>
        <v>7797752.5499999998</v>
      </c>
      <c r="L2051" s="340"/>
      <c r="M2051" s="945"/>
      <c r="N2051" s="878">
        <f>AVERAGE(N2048:N2049)</f>
        <v>0.8</v>
      </c>
      <c r="O2051" s="694"/>
      <c r="P2051" s="176"/>
      <c r="Q2051" s="497"/>
      <c r="R2051" s="496"/>
      <c r="S2051" s="2"/>
      <c r="T2051" s="2"/>
      <c r="U2051" s="2"/>
      <c r="V2051" s="2"/>
    </row>
    <row r="2052" spans="1:22" s="8" customFormat="1" ht="31.5" customHeight="1" x14ac:dyDescent="0.25">
      <c r="A2052" s="1065">
        <v>78</v>
      </c>
      <c r="B2052" s="1076" t="s">
        <v>434</v>
      </c>
      <c r="C2052" s="281" t="s">
        <v>500</v>
      </c>
      <c r="D2052" s="208">
        <v>4688848.1500000004</v>
      </c>
      <c r="E2052" s="948" t="s">
        <v>885</v>
      </c>
      <c r="F2052" s="947" t="s">
        <v>882</v>
      </c>
      <c r="G2052" s="208">
        <v>4800000</v>
      </c>
      <c r="H2052" s="950">
        <v>42576</v>
      </c>
      <c r="I2052" s="950">
        <v>42551</v>
      </c>
      <c r="J2052" s="947">
        <v>4688848.1500000004</v>
      </c>
      <c r="K2052" s="947">
        <v>4688848.1500000004</v>
      </c>
      <c r="L2052" s="950"/>
      <c r="M2052" s="947">
        <f>J2052-D2052</f>
        <v>0</v>
      </c>
      <c r="N2052" s="916">
        <v>1</v>
      </c>
      <c r="O2052" s="809"/>
      <c r="P2052" s="176"/>
      <c r="Q2052" s="497"/>
      <c r="R2052" s="496"/>
      <c r="S2052" s="2"/>
      <c r="T2052" s="2"/>
      <c r="U2052" s="2"/>
      <c r="V2052" s="2"/>
    </row>
    <row r="2053" spans="1:22" s="8" customFormat="1" ht="49.5" x14ac:dyDescent="0.25">
      <c r="A2053" s="1065"/>
      <c r="B2053" s="1076"/>
      <c r="C2053" s="356" t="s">
        <v>37</v>
      </c>
      <c r="D2053" s="357">
        <v>98312.18</v>
      </c>
      <c r="E2053" s="690" t="s">
        <v>621</v>
      </c>
      <c r="F2053" s="361" t="s">
        <v>614</v>
      </c>
      <c r="G2053" s="357">
        <f>83315.41*1.18</f>
        <v>98312.183799999999</v>
      </c>
      <c r="H2053" s="360">
        <v>42384</v>
      </c>
      <c r="I2053" s="360">
        <v>42475</v>
      </c>
      <c r="J2053" s="361">
        <v>83315.41</v>
      </c>
      <c r="K2053" s="361">
        <v>83315.41</v>
      </c>
      <c r="L2053" s="360">
        <v>42732</v>
      </c>
      <c r="M2053" s="361"/>
      <c r="N2053" s="539"/>
      <c r="O2053" s="466" t="s">
        <v>734</v>
      </c>
      <c r="P2053" s="176"/>
      <c r="Q2053" s="497"/>
      <c r="R2053" s="496"/>
      <c r="S2053" s="2"/>
      <c r="T2053" s="2"/>
      <c r="U2053" s="2"/>
      <c r="V2053" s="2"/>
    </row>
    <row r="2054" spans="1:22" s="8" customFormat="1" ht="17.25" thickBot="1" x14ac:dyDescent="0.3">
      <c r="A2054" s="1066" t="s">
        <v>628</v>
      </c>
      <c r="B2054" s="1066"/>
      <c r="C2054" s="342"/>
      <c r="D2054" s="945">
        <f>SUM(D2052:D2053)</f>
        <v>4787160.33</v>
      </c>
      <c r="E2054" s="942"/>
      <c r="F2054" s="943"/>
      <c r="G2054" s="945">
        <f>SUM(G2052:G2053)</f>
        <v>4898312.1837999998</v>
      </c>
      <c r="H2054" s="941"/>
      <c r="I2054" s="172"/>
      <c r="J2054" s="952">
        <f t="shared" ref="J2054" si="145">SUM(J2052:J2053)</f>
        <v>4772163.5600000005</v>
      </c>
      <c r="K2054" s="945">
        <f>SUM(K2052:K2053)</f>
        <v>4772163.5600000005</v>
      </c>
      <c r="L2054" s="340"/>
      <c r="M2054" s="945"/>
      <c r="N2054" s="878">
        <f>AVERAGE(N2052:N2053)</f>
        <v>1</v>
      </c>
      <c r="O2054" s="694"/>
      <c r="P2054" s="176"/>
      <c r="Q2054" s="497"/>
      <c r="R2054" s="496"/>
      <c r="S2054" s="2"/>
      <c r="T2054" s="2"/>
      <c r="U2054" s="2"/>
      <c r="V2054" s="2"/>
    </row>
    <row r="2055" spans="1:22" s="8" customFormat="1" ht="31.5" customHeight="1" x14ac:dyDescent="0.25">
      <c r="A2055" s="1065">
        <v>79</v>
      </c>
      <c r="B2055" s="1064" t="s">
        <v>435</v>
      </c>
      <c r="C2055" s="281" t="s">
        <v>500</v>
      </c>
      <c r="D2055" s="208">
        <v>6768117.7400000002</v>
      </c>
      <c r="E2055" s="948" t="s">
        <v>922</v>
      </c>
      <c r="F2055" s="947" t="s">
        <v>816</v>
      </c>
      <c r="G2055" s="208">
        <v>6799000</v>
      </c>
      <c r="H2055" s="950">
        <v>42597</v>
      </c>
      <c r="I2055" s="950">
        <v>42657</v>
      </c>
      <c r="J2055" s="947">
        <v>6768117.7400000002</v>
      </c>
      <c r="K2055" s="947">
        <v>6768117.7400000002</v>
      </c>
      <c r="L2055" s="950">
        <v>42697</v>
      </c>
      <c r="M2055" s="947"/>
      <c r="N2055" s="909">
        <v>1</v>
      </c>
      <c r="O2055" s="699"/>
      <c r="P2055" s="176"/>
      <c r="Q2055" s="201" t="s">
        <v>1116</v>
      </c>
      <c r="R2055" s="496"/>
      <c r="S2055" s="2"/>
      <c r="T2055" s="2"/>
      <c r="U2055" s="2"/>
      <c r="V2055" s="2"/>
    </row>
    <row r="2056" spans="1:22" s="8" customFormat="1" ht="49.5" x14ac:dyDescent="0.25">
      <c r="A2056" s="1065"/>
      <c r="B2056" s="1064"/>
      <c r="C2056" s="356" t="s">
        <v>37</v>
      </c>
      <c r="D2056" s="357">
        <v>101816.7</v>
      </c>
      <c r="E2056" s="690" t="s">
        <v>616</v>
      </c>
      <c r="F2056" s="361" t="s">
        <v>614</v>
      </c>
      <c r="G2056" s="357">
        <f>86285.34*1.18</f>
        <v>101816.7012</v>
      </c>
      <c r="H2056" s="360">
        <v>42420</v>
      </c>
      <c r="I2056" s="360">
        <v>42502</v>
      </c>
      <c r="J2056" s="361">
        <v>86285.34</v>
      </c>
      <c r="K2056" s="361">
        <v>86285.34</v>
      </c>
      <c r="L2056" s="360"/>
      <c r="M2056" s="361"/>
      <c r="N2056" s="539"/>
      <c r="O2056" s="466" t="s">
        <v>734</v>
      </c>
      <c r="P2056" s="176"/>
      <c r="Q2056" s="497"/>
      <c r="R2056" s="496"/>
      <c r="S2056" s="2"/>
      <c r="T2056" s="2"/>
      <c r="U2056" s="2"/>
      <c r="V2056" s="2"/>
    </row>
    <row r="2057" spans="1:22" s="8" customFormat="1" ht="17.25" thickBot="1" x14ac:dyDescent="0.3">
      <c r="A2057" s="1066" t="s">
        <v>628</v>
      </c>
      <c r="B2057" s="1066"/>
      <c r="C2057" s="342"/>
      <c r="D2057" s="945">
        <f>SUM(D2055:D2056)</f>
        <v>6869934.4400000004</v>
      </c>
      <c r="E2057" s="942"/>
      <c r="F2057" s="943"/>
      <c r="G2057" s="945">
        <f>SUM(G2055:G2056)</f>
        <v>6900816.7012</v>
      </c>
      <c r="H2057" s="941"/>
      <c r="I2057" s="172"/>
      <c r="J2057" s="952">
        <f>SUM(J2055:J2056)</f>
        <v>6854403.0800000001</v>
      </c>
      <c r="K2057" s="945">
        <f>SUM(K2055:K2056)</f>
        <v>6854403.0800000001</v>
      </c>
      <c r="L2057" s="340"/>
      <c r="M2057" s="945"/>
      <c r="N2057" s="878">
        <f>AVERAGE(N2055:N2056)</f>
        <v>1</v>
      </c>
      <c r="O2057" s="694"/>
      <c r="P2057" s="176"/>
      <c r="Q2057" s="497"/>
      <c r="R2057" s="496"/>
      <c r="S2057" s="2"/>
      <c r="T2057" s="2"/>
      <c r="U2057" s="2"/>
      <c r="V2057" s="2"/>
    </row>
    <row r="2058" spans="1:22" s="8" customFormat="1" ht="31.5" customHeight="1" x14ac:dyDescent="0.25">
      <c r="A2058" s="1065">
        <v>80</v>
      </c>
      <c r="B2058" s="1064" t="s">
        <v>436</v>
      </c>
      <c r="C2058" s="281" t="s">
        <v>500</v>
      </c>
      <c r="D2058" s="208">
        <v>7333941</v>
      </c>
      <c r="E2058" s="948" t="s">
        <v>896</v>
      </c>
      <c r="F2058" s="947" t="s">
        <v>897</v>
      </c>
      <c r="G2058" s="208">
        <v>7189999.9800000004</v>
      </c>
      <c r="H2058" s="950">
        <v>42595</v>
      </c>
      <c r="I2058" s="950">
        <v>42660</v>
      </c>
      <c r="J2058" s="947">
        <v>7333941</v>
      </c>
      <c r="K2058" s="947">
        <v>7333941</v>
      </c>
      <c r="L2058" s="950"/>
      <c r="M2058" s="947"/>
      <c r="N2058" s="909">
        <v>1</v>
      </c>
      <c r="O2058" s="699"/>
      <c r="P2058" s="176"/>
      <c r="Q2058" s="201" t="s">
        <v>1121</v>
      </c>
      <c r="R2058" s="496"/>
      <c r="S2058" s="2"/>
      <c r="T2058" s="2"/>
      <c r="U2058" s="2"/>
      <c r="V2058" s="2"/>
    </row>
    <row r="2059" spans="1:22" s="8" customFormat="1" ht="49.5" x14ac:dyDescent="0.25">
      <c r="A2059" s="1065"/>
      <c r="B2059" s="1064"/>
      <c r="C2059" s="356" t="s">
        <v>37</v>
      </c>
      <c r="D2059" s="357">
        <v>101892.06</v>
      </c>
      <c r="E2059" s="690" t="s">
        <v>616</v>
      </c>
      <c r="F2059" s="361" t="s">
        <v>614</v>
      </c>
      <c r="G2059" s="357">
        <f>86349.2*1.18</f>
        <v>101892.056</v>
      </c>
      <c r="H2059" s="360">
        <v>42420</v>
      </c>
      <c r="I2059" s="360">
        <v>42502</v>
      </c>
      <c r="J2059" s="361">
        <v>86349.2</v>
      </c>
      <c r="K2059" s="361">
        <v>86349.2</v>
      </c>
      <c r="L2059" s="360"/>
      <c r="M2059" s="361"/>
      <c r="N2059" s="539"/>
      <c r="O2059" s="466" t="s">
        <v>734</v>
      </c>
      <c r="P2059" s="176"/>
      <c r="Q2059" s="497"/>
      <c r="R2059" s="496"/>
      <c r="S2059" s="2"/>
      <c r="T2059" s="2"/>
      <c r="U2059" s="2"/>
      <c r="V2059" s="2"/>
    </row>
    <row r="2060" spans="1:22" s="8" customFormat="1" ht="17.25" thickBot="1" x14ac:dyDescent="0.3">
      <c r="A2060" s="1066" t="s">
        <v>628</v>
      </c>
      <c r="B2060" s="1066"/>
      <c r="C2060" s="342"/>
      <c r="D2060" s="945">
        <f>SUM(D2058:D2059)</f>
        <v>7435833.0599999996</v>
      </c>
      <c r="E2060" s="942"/>
      <c r="F2060" s="943"/>
      <c r="G2060" s="945">
        <f>SUM(G2058:G2059)</f>
        <v>7291892.0360000003</v>
      </c>
      <c r="H2060" s="941"/>
      <c r="I2060" s="172"/>
      <c r="J2060" s="952">
        <f>SUM(J2058:J2059)</f>
        <v>7420290.2000000002</v>
      </c>
      <c r="K2060" s="945">
        <f>SUM(K2058:K2059)</f>
        <v>7420290.2000000002</v>
      </c>
      <c r="L2060" s="340"/>
      <c r="M2060" s="945"/>
      <c r="N2060" s="878">
        <f>AVERAGE(N2058:N2059)</f>
        <v>1</v>
      </c>
      <c r="O2060" s="694"/>
      <c r="P2060" s="176"/>
      <c r="Q2060" s="497"/>
      <c r="R2060" s="496"/>
      <c r="S2060" s="2"/>
      <c r="T2060" s="2"/>
      <c r="U2060" s="2"/>
      <c r="V2060" s="2"/>
    </row>
    <row r="2061" spans="1:22" s="8" customFormat="1" ht="49.5" x14ac:dyDescent="0.25">
      <c r="A2061" s="1065">
        <v>81</v>
      </c>
      <c r="B2061" s="1064" t="s">
        <v>437</v>
      </c>
      <c r="C2061" s="281" t="s">
        <v>500</v>
      </c>
      <c r="D2061" s="208">
        <v>10804778.560000001</v>
      </c>
      <c r="E2061" s="948" t="s">
        <v>921</v>
      </c>
      <c r="F2061" s="947" t="s">
        <v>816</v>
      </c>
      <c r="G2061" s="208">
        <v>11599000</v>
      </c>
      <c r="H2061" s="950">
        <v>42592</v>
      </c>
      <c r="I2061" s="950">
        <v>42657</v>
      </c>
      <c r="J2061" s="947">
        <v>10804778.560000001</v>
      </c>
      <c r="K2061" s="947">
        <v>10804778.560000001</v>
      </c>
      <c r="L2061" s="950">
        <v>42697</v>
      </c>
      <c r="M2061" s="947"/>
      <c r="N2061" s="909">
        <v>1</v>
      </c>
      <c r="O2061" s="699"/>
      <c r="P2061" s="176"/>
      <c r="Q2061" s="280" t="s">
        <v>1118</v>
      </c>
      <c r="R2061" s="496"/>
      <c r="S2061" s="2"/>
      <c r="T2061" s="2"/>
      <c r="U2061" s="2"/>
      <c r="V2061" s="2"/>
    </row>
    <row r="2062" spans="1:22" s="8" customFormat="1" ht="49.5" x14ac:dyDescent="0.25">
      <c r="A2062" s="1065"/>
      <c r="B2062" s="1064"/>
      <c r="C2062" s="356" t="s">
        <v>37</v>
      </c>
      <c r="D2062" s="357">
        <v>102116.27</v>
      </c>
      <c r="E2062" s="690" t="s">
        <v>616</v>
      </c>
      <c r="F2062" s="361" t="s">
        <v>614</v>
      </c>
      <c r="G2062" s="357">
        <f>86539.21*1.18</f>
        <v>102116.2678</v>
      </c>
      <c r="H2062" s="360">
        <v>42420</v>
      </c>
      <c r="I2062" s="360">
        <v>42502</v>
      </c>
      <c r="J2062" s="361">
        <v>86539.21</v>
      </c>
      <c r="K2062" s="361">
        <v>86539.21</v>
      </c>
      <c r="L2062" s="360"/>
      <c r="M2062" s="361"/>
      <c r="N2062" s="539"/>
      <c r="O2062" s="466" t="s">
        <v>734</v>
      </c>
      <c r="P2062" s="176"/>
      <c r="Q2062" s="497"/>
      <c r="R2062" s="496"/>
      <c r="S2062" s="2"/>
      <c r="T2062" s="2"/>
      <c r="U2062" s="2"/>
      <c r="V2062" s="2"/>
    </row>
    <row r="2063" spans="1:22" s="8" customFormat="1" ht="17.25" thickBot="1" x14ac:dyDescent="0.3">
      <c r="A2063" s="1066" t="s">
        <v>628</v>
      </c>
      <c r="B2063" s="1066"/>
      <c r="C2063" s="342"/>
      <c r="D2063" s="945">
        <f>SUM(D2061:D2062)</f>
        <v>10906894.83</v>
      </c>
      <c r="E2063" s="942"/>
      <c r="F2063" s="943"/>
      <c r="G2063" s="945">
        <f>SUM(G2061:G2062)</f>
        <v>11701116.2678</v>
      </c>
      <c r="H2063" s="941"/>
      <c r="I2063" s="172"/>
      <c r="J2063" s="952">
        <f>SUM(J2061:J2062)</f>
        <v>10891317.770000001</v>
      </c>
      <c r="K2063" s="945">
        <f>SUM(K2061:K2062)</f>
        <v>10891317.770000001</v>
      </c>
      <c r="L2063" s="340"/>
      <c r="M2063" s="945"/>
      <c r="N2063" s="878">
        <f>AVERAGE(N2061:N2062)</f>
        <v>1</v>
      </c>
      <c r="O2063" s="694"/>
      <c r="P2063" s="176"/>
      <c r="Q2063" s="497"/>
      <c r="R2063" s="496"/>
      <c r="S2063" s="2"/>
      <c r="T2063" s="2"/>
      <c r="U2063" s="2"/>
      <c r="V2063" s="2"/>
    </row>
    <row r="2064" spans="1:22" s="8" customFormat="1" ht="33" x14ac:dyDescent="0.25">
      <c r="A2064" s="1065">
        <v>82</v>
      </c>
      <c r="B2064" s="1076" t="s">
        <v>33</v>
      </c>
      <c r="C2064" s="208" t="s">
        <v>34</v>
      </c>
      <c r="D2064" s="208">
        <v>2763429.32</v>
      </c>
      <c r="E2064" s="948" t="s">
        <v>1042</v>
      </c>
      <c r="F2064" s="947" t="s">
        <v>763</v>
      </c>
      <c r="G2064" s="208">
        <v>4441490</v>
      </c>
      <c r="H2064" s="950">
        <v>42622</v>
      </c>
      <c r="I2064" s="950">
        <v>42629</v>
      </c>
      <c r="J2064" s="947">
        <v>2763429.32</v>
      </c>
      <c r="K2064" s="947">
        <v>2763429.32</v>
      </c>
      <c r="L2064" s="950">
        <v>42705</v>
      </c>
      <c r="M2064" s="947"/>
      <c r="N2064" s="909">
        <v>1</v>
      </c>
      <c r="O2064" s="736"/>
      <c r="P2064" s="176"/>
      <c r="Q2064" s="201" t="s">
        <v>1116</v>
      </c>
      <c r="R2064" s="496"/>
      <c r="S2064" s="2"/>
      <c r="T2064" s="2"/>
      <c r="U2064" s="2"/>
      <c r="V2064" s="2"/>
    </row>
    <row r="2065" spans="1:22" s="8" customFormat="1" ht="49.5" x14ac:dyDescent="0.25">
      <c r="A2065" s="1065"/>
      <c r="B2065" s="1076"/>
      <c r="C2065" s="356" t="s">
        <v>37</v>
      </c>
      <c r="D2065" s="357">
        <v>100262.42</v>
      </c>
      <c r="E2065" s="690" t="s">
        <v>621</v>
      </c>
      <c r="F2065" s="361" t="s">
        <v>614</v>
      </c>
      <c r="G2065" s="357">
        <f>84968.15*1.18</f>
        <v>100262.41699999999</v>
      </c>
      <c r="H2065" s="360">
        <v>42384</v>
      </c>
      <c r="I2065" s="360">
        <v>42571</v>
      </c>
      <c r="J2065" s="361">
        <v>84968.15</v>
      </c>
      <c r="K2065" s="361">
        <v>84968.150000000009</v>
      </c>
      <c r="L2065" s="360">
        <v>42732</v>
      </c>
      <c r="M2065" s="361"/>
      <c r="N2065" s="539"/>
      <c r="O2065" s="466" t="s">
        <v>734</v>
      </c>
      <c r="P2065" s="176"/>
      <c r="Q2065" s="497"/>
      <c r="R2065" s="496"/>
      <c r="S2065" s="2"/>
      <c r="T2065" s="2"/>
      <c r="U2065" s="2"/>
      <c r="V2065" s="2"/>
    </row>
    <row r="2066" spans="1:22" s="8" customFormat="1" ht="17.25" thickBot="1" x14ac:dyDescent="0.3">
      <c r="A2066" s="1066" t="s">
        <v>628</v>
      </c>
      <c r="B2066" s="1066"/>
      <c r="C2066" s="342"/>
      <c r="D2066" s="945">
        <f>SUM(D2064:D2065)</f>
        <v>2863691.7399999998</v>
      </c>
      <c r="E2066" s="942"/>
      <c r="F2066" s="943"/>
      <c r="G2066" s="945">
        <f>SUM(G2064:G2065)</f>
        <v>4541752.4170000004</v>
      </c>
      <c r="H2066" s="941"/>
      <c r="I2066" s="172"/>
      <c r="J2066" s="952">
        <f>SUM(J2064:J2065)</f>
        <v>2848397.4699999997</v>
      </c>
      <c r="K2066" s="945">
        <f>SUM(K2064:K2065)</f>
        <v>2848397.4699999997</v>
      </c>
      <c r="L2066" s="340"/>
      <c r="M2066" s="945"/>
      <c r="N2066" s="878">
        <f>AVERAGE(N2064:N2065)</f>
        <v>1</v>
      </c>
      <c r="O2066" s="694"/>
      <c r="P2066" s="176"/>
      <c r="Q2066" s="497"/>
      <c r="R2066" s="496"/>
      <c r="S2066" s="2"/>
      <c r="T2066" s="2"/>
      <c r="U2066" s="2"/>
      <c r="V2066" s="2"/>
    </row>
    <row r="2067" spans="1:22" s="8" customFormat="1" ht="49.5" x14ac:dyDescent="0.25">
      <c r="A2067" s="951">
        <v>83</v>
      </c>
      <c r="B2067" s="945" t="s">
        <v>610</v>
      </c>
      <c r="C2067" s="356" t="s">
        <v>37</v>
      </c>
      <c r="D2067" s="357">
        <v>76530</v>
      </c>
      <c r="E2067" s="690" t="s">
        <v>616</v>
      </c>
      <c r="F2067" s="361" t="s">
        <v>614</v>
      </c>
      <c r="G2067" s="357">
        <f>64851.71*1.18</f>
        <v>76525.017800000001</v>
      </c>
      <c r="H2067" s="360">
        <v>42420</v>
      </c>
      <c r="I2067" s="393"/>
      <c r="J2067" s="361"/>
      <c r="K2067" s="361"/>
      <c r="L2067" s="360"/>
      <c r="M2067" s="361"/>
      <c r="N2067" s="539"/>
      <c r="O2067" s="466"/>
      <c r="P2067" s="176"/>
      <c r="Q2067" s="497"/>
      <c r="R2067" s="496"/>
      <c r="S2067" s="2"/>
      <c r="T2067" s="2"/>
      <c r="U2067" s="2"/>
      <c r="V2067" s="2"/>
    </row>
    <row r="2068" spans="1:22" s="8" customFormat="1" ht="15.75" customHeight="1" thickBot="1" x14ac:dyDescent="0.3">
      <c r="A2068" s="1066" t="s">
        <v>628</v>
      </c>
      <c r="B2068" s="1066"/>
      <c r="C2068" s="339"/>
      <c r="D2068" s="945">
        <f>SUM(D2067:D2067)</f>
        <v>76530</v>
      </c>
      <c r="E2068" s="942"/>
      <c r="F2068" s="943"/>
      <c r="G2068" s="945">
        <f>SUM(G2067:G2067)</f>
        <v>76525.017800000001</v>
      </c>
      <c r="H2068" s="941"/>
      <c r="I2068" s="172"/>
      <c r="J2068" s="943"/>
      <c r="K2068" s="945">
        <f>SUM(K2067:K2067)</f>
        <v>0</v>
      </c>
      <c r="L2068" s="340"/>
      <c r="M2068" s="945"/>
      <c r="N2068" s="878"/>
      <c r="O2068" s="713"/>
      <c r="P2068" s="176"/>
      <c r="Q2068" s="497"/>
      <c r="R2068" s="496"/>
      <c r="S2068" s="2"/>
      <c r="T2068" s="2"/>
      <c r="U2068" s="2"/>
      <c r="V2068" s="2"/>
    </row>
    <row r="2069" spans="1:22" s="8" customFormat="1" ht="33" x14ac:dyDescent="0.25">
      <c r="A2069" s="1065">
        <v>84</v>
      </c>
      <c r="B2069" s="1076" t="s">
        <v>438</v>
      </c>
      <c r="C2069" s="208" t="s">
        <v>38</v>
      </c>
      <c r="D2069" s="208">
        <v>430508.21</v>
      </c>
      <c r="E2069" s="948" t="s">
        <v>1042</v>
      </c>
      <c r="F2069" s="947" t="s">
        <v>763</v>
      </c>
      <c r="G2069" s="208">
        <v>230569</v>
      </c>
      <c r="H2069" s="950">
        <v>42633</v>
      </c>
      <c r="I2069" s="950">
        <v>42622</v>
      </c>
      <c r="J2069" s="947">
        <v>430508.21</v>
      </c>
      <c r="K2069" s="947">
        <v>430508.21</v>
      </c>
      <c r="L2069" s="950">
        <v>42705</v>
      </c>
      <c r="M2069" s="947"/>
      <c r="N2069" s="909">
        <v>1</v>
      </c>
      <c r="O2069" s="736"/>
      <c r="P2069" s="176"/>
      <c r="Q2069" s="201" t="s">
        <v>1116</v>
      </c>
      <c r="R2069" s="496"/>
      <c r="S2069" s="2"/>
      <c r="T2069" s="2"/>
      <c r="U2069" s="2"/>
      <c r="V2069" s="2"/>
    </row>
    <row r="2070" spans="1:22" s="8" customFormat="1" ht="33" x14ac:dyDescent="0.25">
      <c r="A2070" s="1065"/>
      <c r="B2070" s="1076"/>
      <c r="C2070" s="281" t="s">
        <v>500</v>
      </c>
      <c r="D2070" s="208">
        <v>4559684.74</v>
      </c>
      <c r="E2070" s="948" t="s">
        <v>747</v>
      </c>
      <c r="F2070" s="947" t="s">
        <v>741</v>
      </c>
      <c r="G2070" s="208">
        <v>4334591.57</v>
      </c>
      <c r="H2070" s="950">
        <v>42505</v>
      </c>
      <c r="I2070" s="950">
        <v>42478</v>
      </c>
      <c r="J2070" s="947">
        <v>4559684.74</v>
      </c>
      <c r="K2070" s="947">
        <v>4559684.74</v>
      </c>
      <c r="L2070" s="950"/>
      <c r="M2070" s="947">
        <f>J2070-D2070</f>
        <v>0</v>
      </c>
      <c r="N2070" s="534">
        <v>1</v>
      </c>
      <c r="O2070" s="927"/>
      <c r="P2070" s="176"/>
      <c r="Q2070" s="497"/>
      <c r="R2070" s="496"/>
      <c r="S2070" s="2"/>
      <c r="T2070" s="2"/>
      <c r="U2070" s="2"/>
      <c r="V2070" s="2"/>
    </row>
    <row r="2071" spans="1:22" s="8" customFormat="1" ht="49.5" x14ac:dyDescent="0.25">
      <c r="A2071" s="1065"/>
      <c r="B2071" s="1076"/>
      <c r="C2071" s="356" t="s">
        <v>37</v>
      </c>
      <c r="D2071" s="357">
        <v>133273.57</v>
      </c>
      <c r="E2071" s="690" t="s">
        <v>621</v>
      </c>
      <c r="F2071" s="361" t="s">
        <v>614</v>
      </c>
      <c r="G2071" s="357">
        <f>112943.71*1.18</f>
        <v>133273.5778</v>
      </c>
      <c r="H2071" s="360">
        <v>42384</v>
      </c>
      <c r="I2071" s="360">
        <v>42403</v>
      </c>
      <c r="J2071" s="361">
        <v>112943.58</v>
      </c>
      <c r="K2071" s="361">
        <v>112943.57999999999</v>
      </c>
      <c r="L2071" s="360">
        <v>42732</v>
      </c>
      <c r="M2071" s="361"/>
      <c r="N2071" s="539"/>
      <c r="O2071" s="466" t="s">
        <v>734</v>
      </c>
      <c r="P2071" s="176"/>
      <c r="Q2071" s="497"/>
      <c r="R2071" s="496"/>
      <c r="S2071" s="2"/>
      <c r="T2071" s="2"/>
      <c r="U2071" s="2"/>
      <c r="V2071" s="2"/>
    </row>
    <row r="2072" spans="1:22" s="8" customFormat="1" ht="17.25" thickBot="1" x14ac:dyDescent="0.3">
      <c r="A2072" s="1066" t="s">
        <v>628</v>
      </c>
      <c r="B2072" s="1066"/>
      <c r="C2072" s="342"/>
      <c r="D2072" s="945">
        <f>SUM(D2069:D2071)</f>
        <v>5123466.5200000005</v>
      </c>
      <c r="E2072" s="942"/>
      <c r="F2072" s="943"/>
      <c r="G2072" s="945">
        <f>SUM(G2069:G2071)</f>
        <v>4698434.1478000004</v>
      </c>
      <c r="H2072" s="941"/>
      <c r="I2072" s="172"/>
      <c r="J2072" s="952">
        <f>SUM(J2069:J2071)</f>
        <v>5103136.53</v>
      </c>
      <c r="K2072" s="945">
        <f>SUM(K2069:K2071)</f>
        <v>5103136.53</v>
      </c>
      <c r="L2072" s="340"/>
      <c r="M2072" s="945"/>
      <c r="N2072" s="878">
        <f>AVERAGE(N2069:N2071)</f>
        <v>1</v>
      </c>
      <c r="O2072" s="694"/>
      <c r="P2072" s="176"/>
      <c r="Q2072" s="497"/>
      <c r="R2072" s="496"/>
      <c r="S2072" s="2"/>
      <c r="T2072" s="2"/>
      <c r="U2072" s="2"/>
      <c r="V2072" s="2"/>
    </row>
    <row r="2073" spans="1:22" s="8" customFormat="1" ht="33" x14ac:dyDescent="0.25">
      <c r="A2073" s="1065">
        <v>85</v>
      </c>
      <c r="B2073" s="1064" t="s">
        <v>439</v>
      </c>
      <c r="C2073" s="281" t="s">
        <v>500</v>
      </c>
      <c r="D2073" s="208">
        <v>7733122.9199999999</v>
      </c>
      <c r="E2073" s="948" t="s">
        <v>1107</v>
      </c>
      <c r="F2073" s="947" t="s">
        <v>882</v>
      </c>
      <c r="G2073" s="208">
        <v>7733122.9199999999</v>
      </c>
      <c r="H2073" s="950">
        <v>42704</v>
      </c>
      <c r="I2073" s="950">
        <v>42719</v>
      </c>
      <c r="J2073" s="947">
        <v>7696973.6200000001</v>
      </c>
      <c r="K2073" s="947">
        <v>7696973.6200000001</v>
      </c>
      <c r="L2073" s="950"/>
      <c r="M2073" s="947"/>
      <c r="N2073" s="909">
        <v>0.95</v>
      </c>
      <c r="O2073" s="699"/>
      <c r="P2073" s="176"/>
      <c r="Q2073" s="497"/>
      <c r="R2073" s="496"/>
      <c r="S2073" s="2"/>
      <c r="T2073" s="2"/>
      <c r="U2073" s="2"/>
      <c r="V2073" s="2"/>
    </row>
    <row r="2074" spans="1:22" s="8" customFormat="1" ht="49.5" x14ac:dyDescent="0.25">
      <c r="A2074" s="1065"/>
      <c r="B2074" s="1064"/>
      <c r="C2074" s="356" t="s">
        <v>37</v>
      </c>
      <c r="D2074" s="357">
        <v>103532.39</v>
      </c>
      <c r="E2074" s="690" t="s">
        <v>616</v>
      </c>
      <c r="F2074" s="361" t="s">
        <v>614</v>
      </c>
      <c r="G2074" s="357">
        <f>87739.31*1.18</f>
        <v>103532.38579999999</v>
      </c>
      <c r="H2074" s="360">
        <v>42420</v>
      </c>
      <c r="I2074" s="360">
        <v>42620</v>
      </c>
      <c r="J2074" s="361">
        <v>87739.31</v>
      </c>
      <c r="K2074" s="361">
        <v>87739.31</v>
      </c>
      <c r="L2074" s="360"/>
      <c r="M2074" s="361"/>
      <c r="N2074" s="539"/>
      <c r="O2074" s="466" t="s">
        <v>734</v>
      </c>
      <c r="P2074" s="176"/>
      <c r="Q2074" s="497"/>
      <c r="R2074" s="496"/>
      <c r="S2074" s="2"/>
      <c r="T2074" s="2"/>
      <c r="U2074" s="2"/>
      <c r="V2074" s="2"/>
    </row>
    <row r="2075" spans="1:22" s="11" customFormat="1" ht="33" outlineLevel="1" x14ac:dyDescent="0.25">
      <c r="A2075" s="1065"/>
      <c r="B2075" s="1064"/>
      <c r="C2075" s="549" t="s">
        <v>1095</v>
      </c>
      <c r="D2075" s="169">
        <v>47317.0315306548</v>
      </c>
      <c r="E2075" s="942"/>
      <c r="F2075" s="943"/>
      <c r="G2075" s="169"/>
      <c r="H2075" s="941"/>
      <c r="I2075" s="941"/>
      <c r="J2075" s="943"/>
      <c r="K2075" s="943"/>
      <c r="L2075" s="941"/>
      <c r="M2075" s="943"/>
      <c r="N2075" s="915"/>
      <c r="O2075" s="287"/>
      <c r="P2075" s="176"/>
      <c r="Q2075" s="446"/>
      <c r="R2075" s="335"/>
      <c r="S2075" s="2"/>
      <c r="T2075" s="2"/>
      <c r="U2075" s="2"/>
      <c r="V2075" s="2"/>
    </row>
    <row r="2076" spans="1:22" s="8" customFormat="1" ht="17.25" thickBot="1" x14ac:dyDescent="0.3">
      <c r="A2076" s="1066" t="s">
        <v>628</v>
      </c>
      <c r="B2076" s="1066"/>
      <c r="C2076" s="342"/>
      <c r="D2076" s="945">
        <f>SUM(D2073:D2075)</f>
        <v>7883972.3415306546</v>
      </c>
      <c r="E2076" s="942"/>
      <c r="F2076" s="943"/>
      <c r="G2076" s="945">
        <f>SUM(G2073:G2074)</f>
        <v>7836655.3058000002</v>
      </c>
      <c r="H2076" s="941"/>
      <c r="I2076" s="172"/>
      <c r="J2076" s="952">
        <f>SUM(J2073:J2074)</f>
        <v>7784712.9299999997</v>
      </c>
      <c r="K2076" s="945">
        <f>SUM(K2073:K2074)</f>
        <v>7784712.9299999997</v>
      </c>
      <c r="L2076" s="340"/>
      <c r="M2076" s="945"/>
      <c r="N2076" s="878">
        <f>AVERAGE(N2073:N2074)</f>
        <v>0.95</v>
      </c>
      <c r="O2076" s="694"/>
      <c r="P2076" s="176"/>
      <c r="Q2076" s="497"/>
      <c r="R2076" s="496"/>
      <c r="S2076" s="2"/>
      <c r="T2076" s="2"/>
      <c r="U2076" s="2"/>
      <c r="V2076" s="2"/>
    </row>
    <row r="2077" spans="1:22" s="8" customFormat="1" ht="33" x14ac:dyDescent="0.25">
      <c r="A2077" s="1065">
        <v>86</v>
      </c>
      <c r="B2077" s="1064" t="s">
        <v>440</v>
      </c>
      <c r="C2077" s="342" t="s">
        <v>501</v>
      </c>
      <c r="D2077" s="339">
        <v>15680000</v>
      </c>
      <c r="E2077" s="942" t="s">
        <v>1101</v>
      </c>
      <c r="F2077" s="943" t="s">
        <v>847</v>
      </c>
      <c r="G2077" s="339">
        <v>2183491.52</v>
      </c>
      <c r="H2077" s="941">
        <v>42914</v>
      </c>
      <c r="I2077" s="172"/>
      <c r="J2077" s="943"/>
      <c r="K2077" s="943"/>
      <c r="L2077" s="941"/>
      <c r="M2077" s="943"/>
      <c r="N2077" s="917">
        <v>0.05</v>
      </c>
      <c r="O2077" s="699"/>
      <c r="P2077" s="176">
        <v>2017</v>
      </c>
      <c r="Q2077" s="497"/>
      <c r="R2077" s="496"/>
      <c r="S2077" s="2"/>
      <c r="T2077" s="2"/>
      <c r="U2077" s="2"/>
      <c r="V2077" s="2"/>
    </row>
    <row r="2078" spans="1:22" s="8" customFormat="1" ht="49.5" x14ac:dyDescent="0.25">
      <c r="A2078" s="1065"/>
      <c r="B2078" s="1064"/>
      <c r="C2078" s="356" t="s">
        <v>37</v>
      </c>
      <c r="D2078" s="357">
        <v>131450</v>
      </c>
      <c r="E2078" s="690" t="s">
        <v>616</v>
      </c>
      <c r="F2078" s="361" t="s">
        <v>614</v>
      </c>
      <c r="G2078" s="357">
        <f>111400.65*1.18</f>
        <v>131452.76699999999</v>
      </c>
      <c r="H2078" s="360">
        <v>42420</v>
      </c>
      <c r="I2078" s="360">
        <v>42627</v>
      </c>
      <c r="J2078" s="361">
        <v>111400.65</v>
      </c>
      <c r="K2078" s="361">
        <v>111400.65</v>
      </c>
      <c r="L2078" s="360"/>
      <c r="M2078" s="361"/>
      <c r="N2078" s="539"/>
      <c r="O2078" s="466" t="s">
        <v>722</v>
      </c>
      <c r="P2078" s="176"/>
      <c r="Q2078" s="497"/>
      <c r="R2078" s="496"/>
      <c r="S2078" s="2"/>
      <c r="T2078" s="2"/>
      <c r="U2078" s="2"/>
      <c r="V2078" s="2"/>
    </row>
    <row r="2079" spans="1:22" s="8" customFormat="1" ht="17.25" thickBot="1" x14ac:dyDescent="0.3">
      <c r="A2079" s="1066" t="s">
        <v>628</v>
      </c>
      <c r="B2079" s="1066"/>
      <c r="C2079" s="339"/>
      <c r="D2079" s="945">
        <f>SUM(D2077:D2078)</f>
        <v>15811450</v>
      </c>
      <c r="E2079" s="942"/>
      <c r="F2079" s="943"/>
      <c r="G2079" s="945">
        <f>SUM(G2077:G2078)</f>
        <v>2314944.287</v>
      </c>
      <c r="H2079" s="941"/>
      <c r="I2079" s="172"/>
      <c r="J2079" s="952">
        <f>SUM(J2077:J2078)</f>
        <v>111400.65</v>
      </c>
      <c r="K2079" s="945">
        <f>SUM(K2077:K2078)</f>
        <v>111400.65</v>
      </c>
      <c r="L2079" s="340"/>
      <c r="M2079" s="945"/>
      <c r="N2079" s="878">
        <f>AVERAGE(N2077:N2078)</f>
        <v>0.05</v>
      </c>
      <c r="O2079" s="713"/>
      <c r="P2079" s="176"/>
      <c r="Q2079" s="497"/>
      <c r="R2079" s="496"/>
      <c r="S2079" s="2"/>
      <c r="T2079" s="2"/>
      <c r="U2079" s="2"/>
      <c r="V2079" s="2"/>
    </row>
    <row r="2080" spans="1:22" s="8" customFormat="1" ht="43.5" customHeight="1" x14ac:dyDescent="0.25">
      <c r="A2080" s="1065">
        <v>87</v>
      </c>
      <c r="B2080" s="1064" t="s">
        <v>441</v>
      </c>
      <c r="C2080" s="281" t="s">
        <v>500</v>
      </c>
      <c r="D2080" s="208">
        <v>6310937.3600000003</v>
      </c>
      <c r="E2080" s="948" t="s">
        <v>976</v>
      </c>
      <c r="F2080" s="947" t="s">
        <v>816</v>
      </c>
      <c r="G2080" s="208">
        <v>6985288.4800000004</v>
      </c>
      <c r="H2080" s="950">
        <v>42618</v>
      </c>
      <c r="I2080" s="950">
        <v>42618</v>
      </c>
      <c r="J2080" s="947">
        <v>6310937.3600000003</v>
      </c>
      <c r="K2080" s="947">
        <v>6310937.3600000003</v>
      </c>
      <c r="L2080" s="950"/>
      <c r="M2080" s="947"/>
      <c r="N2080" s="909">
        <v>1</v>
      </c>
      <c r="O2080" s="699"/>
      <c r="P2080" s="176"/>
      <c r="Q2080" s="497"/>
      <c r="R2080" s="496"/>
      <c r="S2080" s="2"/>
      <c r="T2080" s="2"/>
      <c r="U2080" s="2"/>
      <c r="V2080" s="2"/>
    </row>
    <row r="2081" spans="1:22" s="8" customFormat="1" ht="49.5" x14ac:dyDescent="0.25">
      <c r="A2081" s="1065"/>
      <c r="B2081" s="1064"/>
      <c r="C2081" s="356" t="s">
        <v>37</v>
      </c>
      <c r="D2081" s="357">
        <v>95981.21</v>
      </c>
      <c r="E2081" s="690" t="s">
        <v>616</v>
      </c>
      <c r="F2081" s="361" t="s">
        <v>614</v>
      </c>
      <c r="G2081" s="357">
        <f>81340.01*1.18</f>
        <v>95981.21179999999</v>
      </c>
      <c r="H2081" s="360">
        <v>42420</v>
      </c>
      <c r="I2081" s="360">
        <v>42541</v>
      </c>
      <c r="J2081" s="361">
        <v>81340.009999999995</v>
      </c>
      <c r="K2081" s="361">
        <v>81340.009999999995</v>
      </c>
      <c r="L2081" s="360"/>
      <c r="M2081" s="361"/>
      <c r="N2081" s="539"/>
      <c r="O2081" s="466" t="s">
        <v>734</v>
      </c>
      <c r="P2081" s="176"/>
      <c r="Q2081" s="497"/>
      <c r="R2081" s="496"/>
      <c r="S2081" s="2"/>
      <c r="T2081" s="2"/>
      <c r="U2081" s="2"/>
      <c r="V2081" s="2"/>
    </row>
    <row r="2082" spans="1:22" s="8" customFormat="1" ht="17.25" thickBot="1" x14ac:dyDescent="0.3">
      <c r="A2082" s="1066" t="s">
        <v>628</v>
      </c>
      <c r="B2082" s="1066"/>
      <c r="C2082" s="342"/>
      <c r="D2082" s="945">
        <f>SUM(D2080:D2081)</f>
        <v>6406918.5700000003</v>
      </c>
      <c r="E2082" s="942"/>
      <c r="F2082" s="943"/>
      <c r="G2082" s="945">
        <f>SUM(G2080:G2081)</f>
        <v>7081269.6918000001</v>
      </c>
      <c r="H2082" s="941"/>
      <c r="I2082" s="172"/>
      <c r="J2082" s="952">
        <f>SUM(J2080:J2081)</f>
        <v>6392277.3700000001</v>
      </c>
      <c r="K2082" s="945">
        <f>SUM(K2080:K2081)</f>
        <v>6392277.3700000001</v>
      </c>
      <c r="L2082" s="340"/>
      <c r="M2082" s="945"/>
      <c r="N2082" s="878">
        <f>AVERAGE(N2080:N2081)</f>
        <v>1</v>
      </c>
      <c r="O2082" s="707"/>
      <c r="P2082" s="176"/>
      <c r="Q2082" s="497"/>
      <c r="R2082" s="496"/>
      <c r="S2082" s="2"/>
      <c r="T2082" s="2"/>
      <c r="U2082" s="2"/>
      <c r="V2082" s="2"/>
    </row>
    <row r="2083" spans="1:22" s="8" customFormat="1" ht="31.5" customHeight="1" x14ac:dyDescent="0.25">
      <c r="A2083" s="1065">
        <v>88</v>
      </c>
      <c r="B2083" s="1064" t="s">
        <v>442</v>
      </c>
      <c r="C2083" s="342" t="s">
        <v>501</v>
      </c>
      <c r="D2083" s="339">
        <v>6812000</v>
      </c>
      <c r="E2083" s="942" t="s">
        <v>1187</v>
      </c>
      <c r="F2083" s="943" t="s">
        <v>804</v>
      </c>
      <c r="G2083" s="339">
        <v>5811850.3899999997</v>
      </c>
      <c r="H2083" s="941">
        <v>42906</v>
      </c>
      <c r="I2083" s="172"/>
      <c r="J2083" s="943"/>
      <c r="K2083" s="943"/>
      <c r="L2083" s="941"/>
      <c r="M2083" s="943"/>
      <c r="N2083" s="914">
        <v>0</v>
      </c>
      <c r="O2083" s="699"/>
      <c r="P2083" s="176">
        <v>2017</v>
      </c>
      <c r="Q2083" s="497"/>
      <c r="R2083" s="496"/>
      <c r="S2083" s="2"/>
      <c r="T2083" s="2"/>
      <c r="U2083" s="2"/>
      <c r="V2083" s="2"/>
    </row>
    <row r="2084" spans="1:22" s="8" customFormat="1" ht="49.5" x14ac:dyDescent="0.25">
      <c r="A2084" s="1065"/>
      <c r="B2084" s="1064"/>
      <c r="C2084" s="356" t="s">
        <v>37</v>
      </c>
      <c r="D2084" s="357">
        <v>97578.9</v>
      </c>
      <c r="E2084" s="690" t="s">
        <v>616</v>
      </c>
      <c r="F2084" s="361" t="s">
        <v>614</v>
      </c>
      <c r="G2084" s="357">
        <f>82693.98*1.18</f>
        <v>97578.896399999983</v>
      </c>
      <c r="H2084" s="360">
        <v>42420</v>
      </c>
      <c r="I2084" s="360">
        <v>42627</v>
      </c>
      <c r="J2084" s="361">
        <v>82693.98</v>
      </c>
      <c r="K2084" s="361">
        <v>82693.98</v>
      </c>
      <c r="L2084" s="360"/>
      <c r="M2084" s="361"/>
      <c r="N2084" s="539"/>
      <c r="O2084" s="466" t="s">
        <v>877</v>
      </c>
      <c r="P2084" s="176"/>
      <c r="Q2084" s="497"/>
      <c r="R2084" s="496"/>
      <c r="S2084" s="2"/>
      <c r="T2084" s="2"/>
      <c r="U2084" s="2"/>
      <c r="V2084" s="2"/>
    </row>
    <row r="2085" spans="1:22" s="8" customFormat="1" ht="17.25" thickBot="1" x14ac:dyDescent="0.3">
      <c r="A2085" s="1066" t="s">
        <v>628</v>
      </c>
      <c r="B2085" s="1066"/>
      <c r="C2085" s="339"/>
      <c r="D2085" s="945">
        <f>SUM(D2083:D2084)</f>
        <v>6909578.9000000004</v>
      </c>
      <c r="E2085" s="942"/>
      <c r="F2085" s="943"/>
      <c r="G2085" s="945">
        <f>SUM(G2083:G2084)</f>
        <v>5909429.2863999996</v>
      </c>
      <c r="H2085" s="941"/>
      <c r="I2085" s="172"/>
      <c r="J2085" s="952">
        <f>SUM(J2083:J2084)</f>
        <v>82693.98</v>
      </c>
      <c r="K2085" s="945">
        <f>SUM(K2083:K2084)</f>
        <v>82693.98</v>
      </c>
      <c r="L2085" s="340"/>
      <c r="M2085" s="945"/>
      <c r="N2085" s="878">
        <f>AVERAGE(N2083:N2084)</f>
        <v>0</v>
      </c>
      <c r="O2085" s="713"/>
      <c r="P2085" s="176"/>
      <c r="Q2085" s="497"/>
      <c r="R2085" s="496"/>
      <c r="S2085" s="2"/>
      <c r="T2085" s="2"/>
      <c r="U2085" s="2"/>
      <c r="V2085" s="2"/>
    </row>
    <row r="2086" spans="1:22" s="8" customFormat="1" ht="31.5" customHeight="1" x14ac:dyDescent="0.25">
      <c r="A2086" s="1065">
        <v>89</v>
      </c>
      <c r="B2086" s="1064" t="s">
        <v>443</v>
      </c>
      <c r="C2086" s="281" t="s">
        <v>500</v>
      </c>
      <c r="D2086" s="208">
        <v>2371061.12</v>
      </c>
      <c r="E2086" s="948" t="s">
        <v>995</v>
      </c>
      <c r="F2086" s="947" t="s">
        <v>794</v>
      </c>
      <c r="G2086" s="208">
        <v>4211335.29</v>
      </c>
      <c r="H2086" s="950">
        <v>42628</v>
      </c>
      <c r="I2086" s="950">
        <v>42664</v>
      </c>
      <c r="J2086" s="947">
        <v>2371061.12</v>
      </c>
      <c r="K2086" s="947">
        <v>2371061.12</v>
      </c>
      <c r="L2086" s="950"/>
      <c r="M2086" s="947"/>
      <c r="N2086" s="909">
        <v>1</v>
      </c>
      <c r="O2086" s="699"/>
      <c r="P2086" s="176"/>
      <c r="Q2086" s="201" t="s">
        <v>1121</v>
      </c>
      <c r="R2086" s="496"/>
      <c r="S2086" s="2"/>
      <c r="T2086" s="2"/>
      <c r="U2086" s="2"/>
      <c r="V2086" s="2"/>
    </row>
    <row r="2087" spans="1:22" s="8" customFormat="1" ht="49.5" x14ac:dyDescent="0.25">
      <c r="A2087" s="1065"/>
      <c r="B2087" s="1064"/>
      <c r="C2087" s="356" t="s">
        <v>37</v>
      </c>
      <c r="D2087" s="357">
        <v>96166.81</v>
      </c>
      <c r="E2087" s="690" t="s">
        <v>617</v>
      </c>
      <c r="F2087" s="361" t="s">
        <v>614</v>
      </c>
      <c r="G2087" s="357">
        <f>81497.3*1.18</f>
        <v>96166.813999999998</v>
      </c>
      <c r="H2087" s="360">
        <v>42451</v>
      </c>
      <c r="I2087" s="360">
        <v>42495</v>
      </c>
      <c r="J2087" s="361">
        <v>96166.81</v>
      </c>
      <c r="K2087" s="361">
        <v>96166.81</v>
      </c>
      <c r="L2087" s="360"/>
      <c r="M2087" s="361"/>
      <c r="N2087" s="539"/>
      <c r="O2087" s="466" t="s">
        <v>734</v>
      </c>
      <c r="P2087" s="176"/>
      <c r="Q2087" s="497"/>
      <c r="R2087" s="496"/>
      <c r="S2087" s="2"/>
      <c r="T2087" s="2"/>
      <c r="U2087" s="2"/>
      <c r="V2087" s="2"/>
    </row>
    <row r="2088" spans="1:22" s="8" customFormat="1" ht="17.25" thickBot="1" x14ac:dyDescent="0.3">
      <c r="A2088" s="1066" t="s">
        <v>628</v>
      </c>
      <c r="B2088" s="1066"/>
      <c r="C2088" s="342"/>
      <c r="D2088" s="945">
        <f>SUM(D2086:D2087)</f>
        <v>2467227.9300000002</v>
      </c>
      <c r="E2088" s="942"/>
      <c r="F2088" s="943"/>
      <c r="G2088" s="945">
        <f>SUM(G2086:G2087)</f>
        <v>4307502.1040000003</v>
      </c>
      <c r="H2088" s="941"/>
      <c r="I2088" s="172"/>
      <c r="J2088" s="952">
        <f>SUM(J2086:J2087)</f>
        <v>2467227.9300000002</v>
      </c>
      <c r="K2088" s="945">
        <f>SUM(K2086:K2087)</f>
        <v>2467227.9300000002</v>
      </c>
      <c r="L2088" s="340"/>
      <c r="M2088" s="945"/>
      <c r="N2088" s="878">
        <f>AVERAGE(N2086:N2087)</f>
        <v>1</v>
      </c>
      <c r="O2088" s="694"/>
      <c r="P2088" s="176"/>
      <c r="Q2088" s="497"/>
      <c r="R2088" s="496"/>
      <c r="S2088" s="2"/>
      <c r="T2088" s="2"/>
      <c r="U2088" s="2"/>
      <c r="V2088" s="2"/>
    </row>
    <row r="2089" spans="1:22" s="8" customFormat="1" ht="31.5" customHeight="1" x14ac:dyDescent="0.25">
      <c r="A2089" s="1065">
        <v>90</v>
      </c>
      <c r="B2089" s="1064" t="s">
        <v>444</v>
      </c>
      <c r="C2089" s="281" t="s">
        <v>500</v>
      </c>
      <c r="D2089" s="208">
        <v>2430760.11</v>
      </c>
      <c r="E2089" s="948" t="s">
        <v>995</v>
      </c>
      <c r="F2089" s="947" t="s">
        <v>794</v>
      </c>
      <c r="G2089" s="208">
        <v>4506664.71</v>
      </c>
      <c r="H2089" s="950">
        <v>42628</v>
      </c>
      <c r="I2089" s="950">
        <v>42664</v>
      </c>
      <c r="J2089" s="947">
        <v>2430760.11</v>
      </c>
      <c r="K2089" s="947">
        <v>2430760.11</v>
      </c>
      <c r="L2089" s="950"/>
      <c r="M2089" s="947"/>
      <c r="N2089" s="909">
        <v>1</v>
      </c>
      <c r="O2089" s="699"/>
      <c r="P2089" s="176"/>
      <c r="Q2089" s="201" t="s">
        <v>1121</v>
      </c>
      <c r="R2089" s="496"/>
      <c r="S2089" s="2"/>
      <c r="T2089" s="2"/>
      <c r="U2089" s="2"/>
      <c r="V2089" s="2"/>
    </row>
    <row r="2090" spans="1:22" s="8" customFormat="1" ht="49.5" x14ac:dyDescent="0.25">
      <c r="A2090" s="1065"/>
      <c r="B2090" s="1064"/>
      <c r="C2090" s="356" t="s">
        <v>37</v>
      </c>
      <c r="D2090" s="357">
        <v>99439.47</v>
      </c>
      <c r="E2090" s="690" t="s">
        <v>617</v>
      </c>
      <c r="F2090" s="361" t="s">
        <v>614</v>
      </c>
      <c r="G2090" s="357">
        <f>84270.74*1.18</f>
        <v>99439.473200000008</v>
      </c>
      <c r="H2090" s="360">
        <v>42451</v>
      </c>
      <c r="I2090" s="360">
        <v>42495</v>
      </c>
      <c r="J2090" s="361">
        <v>99439.47</v>
      </c>
      <c r="K2090" s="361">
        <v>99439.47</v>
      </c>
      <c r="L2090" s="360"/>
      <c r="M2090" s="361"/>
      <c r="N2090" s="539"/>
      <c r="O2090" s="466" t="s">
        <v>734</v>
      </c>
      <c r="P2090" s="176"/>
      <c r="Q2090" s="497"/>
      <c r="R2090" s="496"/>
      <c r="S2090" s="2"/>
      <c r="T2090" s="2"/>
      <c r="U2090" s="2"/>
      <c r="V2090" s="2"/>
    </row>
    <row r="2091" spans="1:22" s="8" customFormat="1" ht="17.25" thickBot="1" x14ac:dyDescent="0.3">
      <c r="A2091" s="1066" t="s">
        <v>628</v>
      </c>
      <c r="B2091" s="1066"/>
      <c r="C2091" s="342"/>
      <c r="D2091" s="945">
        <f>SUM(D2089:D2090)</f>
        <v>2530199.58</v>
      </c>
      <c r="E2091" s="942"/>
      <c r="F2091" s="943"/>
      <c r="G2091" s="945">
        <f>SUM(G2089:G2090)</f>
        <v>4606104.1831999999</v>
      </c>
      <c r="H2091" s="941"/>
      <c r="I2091" s="172"/>
      <c r="J2091" s="952">
        <f>SUM(J2089:J2090)</f>
        <v>2530199.58</v>
      </c>
      <c r="K2091" s="945">
        <f>SUM(K2089:K2090)</f>
        <v>2530199.58</v>
      </c>
      <c r="L2091" s="340"/>
      <c r="M2091" s="945"/>
      <c r="N2091" s="878">
        <f>AVERAGE(N2089:N2090)</f>
        <v>1</v>
      </c>
      <c r="O2091" s="694"/>
      <c r="P2091" s="176"/>
      <c r="Q2091" s="497"/>
      <c r="R2091" s="496"/>
      <c r="S2091" s="2"/>
      <c r="T2091" s="2"/>
      <c r="U2091" s="2"/>
      <c r="V2091" s="2"/>
    </row>
    <row r="2092" spans="1:22" s="8" customFormat="1" ht="33" x14ac:dyDescent="0.25">
      <c r="A2092" s="1065">
        <v>91</v>
      </c>
      <c r="B2092" s="1064" t="s">
        <v>445</v>
      </c>
      <c r="C2092" s="281" t="s">
        <v>500</v>
      </c>
      <c r="D2092" s="208">
        <v>2695704.29</v>
      </c>
      <c r="E2092" s="948" t="s">
        <v>1106</v>
      </c>
      <c r="F2092" s="947" t="s">
        <v>794</v>
      </c>
      <c r="G2092" s="208">
        <v>4370000</v>
      </c>
      <c r="H2092" s="950">
        <v>42663</v>
      </c>
      <c r="I2092" s="950">
        <v>42666</v>
      </c>
      <c r="J2092" s="947">
        <v>2695704.29</v>
      </c>
      <c r="K2092" s="947">
        <v>2695704.29</v>
      </c>
      <c r="L2092" s="950"/>
      <c r="M2092" s="947"/>
      <c r="N2092" s="909">
        <v>1</v>
      </c>
      <c r="O2092" s="699"/>
      <c r="P2092" s="176"/>
      <c r="Q2092" s="201" t="s">
        <v>1114</v>
      </c>
      <c r="R2092" s="496"/>
      <c r="S2092" s="2"/>
      <c r="T2092" s="2"/>
      <c r="U2092" s="2"/>
      <c r="V2092" s="2"/>
    </row>
    <row r="2093" spans="1:22" s="8" customFormat="1" ht="49.5" x14ac:dyDescent="0.25">
      <c r="A2093" s="1065"/>
      <c r="B2093" s="1064"/>
      <c r="C2093" s="356" t="s">
        <v>37</v>
      </c>
      <c r="D2093" s="357">
        <v>92207.08</v>
      </c>
      <c r="E2093" s="690" t="s">
        <v>617</v>
      </c>
      <c r="F2093" s="361" t="s">
        <v>614</v>
      </c>
      <c r="G2093" s="357">
        <f>78141.59*1.18</f>
        <v>92207.076199999996</v>
      </c>
      <c r="H2093" s="360">
        <v>42451</v>
      </c>
      <c r="I2093" s="360">
        <v>42495</v>
      </c>
      <c r="J2093" s="361">
        <v>92207.08</v>
      </c>
      <c r="K2093" s="361">
        <v>92207.08</v>
      </c>
      <c r="L2093" s="360"/>
      <c r="M2093" s="361"/>
      <c r="N2093" s="539"/>
      <c r="O2093" s="466" t="s">
        <v>734</v>
      </c>
      <c r="P2093" s="176"/>
      <c r="Q2093" s="497"/>
      <c r="R2093" s="496"/>
      <c r="S2093" s="2"/>
      <c r="T2093" s="2"/>
      <c r="U2093" s="2"/>
      <c r="V2093" s="2"/>
    </row>
    <row r="2094" spans="1:22" s="8" customFormat="1" ht="17.25" thickBot="1" x14ac:dyDescent="0.3">
      <c r="A2094" s="1066" t="s">
        <v>628</v>
      </c>
      <c r="B2094" s="1066"/>
      <c r="C2094" s="342"/>
      <c r="D2094" s="945">
        <f>SUM(D2092:D2093)</f>
        <v>2787911.37</v>
      </c>
      <c r="E2094" s="942"/>
      <c r="F2094" s="943"/>
      <c r="G2094" s="945">
        <f>SUM(G2092:G2093)</f>
        <v>4462207.0762</v>
      </c>
      <c r="H2094" s="941"/>
      <c r="I2094" s="172"/>
      <c r="J2094" s="952">
        <f>SUM(J2092:J2093)</f>
        <v>2787911.37</v>
      </c>
      <c r="K2094" s="945">
        <f>SUM(K2092:K2093)</f>
        <v>2787911.37</v>
      </c>
      <c r="L2094" s="340"/>
      <c r="M2094" s="945"/>
      <c r="N2094" s="878">
        <f>AVERAGE(N2092:N2093)</f>
        <v>1</v>
      </c>
      <c r="O2094" s="694"/>
      <c r="P2094" s="176"/>
      <c r="Q2094" s="497"/>
      <c r="R2094" s="496"/>
      <c r="S2094" s="2"/>
      <c r="T2094" s="2"/>
      <c r="U2094" s="2"/>
      <c r="V2094" s="2"/>
    </row>
    <row r="2095" spans="1:22" s="8" customFormat="1" ht="33" x14ac:dyDescent="0.25">
      <c r="A2095" s="1065">
        <v>92</v>
      </c>
      <c r="B2095" s="1064" t="s">
        <v>446</v>
      </c>
      <c r="C2095" s="281" t="s">
        <v>500</v>
      </c>
      <c r="D2095" s="208">
        <v>3632640.62</v>
      </c>
      <c r="E2095" s="948" t="s">
        <v>919</v>
      </c>
      <c r="F2095" s="947" t="s">
        <v>816</v>
      </c>
      <c r="G2095" s="208">
        <v>3655246.41</v>
      </c>
      <c r="H2095" s="950">
        <v>42602</v>
      </c>
      <c r="I2095" s="950">
        <v>42636</v>
      </c>
      <c r="J2095" s="947">
        <v>3632640.62</v>
      </c>
      <c r="K2095" s="947">
        <v>3632640.62</v>
      </c>
      <c r="L2095" s="950"/>
      <c r="M2095" s="947"/>
      <c r="N2095" s="909">
        <v>1</v>
      </c>
      <c r="O2095" s="699"/>
      <c r="P2095" s="176"/>
      <c r="Q2095" s="201" t="s">
        <v>1116</v>
      </c>
      <c r="R2095" s="496"/>
      <c r="S2095" s="2"/>
      <c r="T2095" s="2"/>
      <c r="U2095" s="2"/>
      <c r="V2095" s="2"/>
    </row>
    <row r="2096" spans="1:22" s="8" customFormat="1" ht="49.5" x14ac:dyDescent="0.25">
      <c r="A2096" s="1065"/>
      <c r="B2096" s="1064"/>
      <c r="C2096" s="356" t="s">
        <v>37</v>
      </c>
      <c r="D2096" s="357">
        <v>67266.05</v>
      </c>
      <c r="E2096" s="690" t="s">
        <v>617</v>
      </c>
      <c r="F2096" s="361" t="s">
        <v>614</v>
      </c>
      <c r="G2096" s="357">
        <f>57005.13*1.18</f>
        <v>67266.05339999999</v>
      </c>
      <c r="H2096" s="360">
        <v>42451</v>
      </c>
      <c r="I2096" s="360">
        <v>42495</v>
      </c>
      <c r="J2096" s="361">
        <v>67266.05</v>
      </c>
      <c r="K2096" s="361">
        <v>67266.05</v>
      </c>
      <c r="L2096" s="360"/>
      <c r="M2096" s="361"/>
      <c r="N2096" s="539"/>
      <c r="O2096" s="466" t="s">
        <v>734</v>
      </c>
      <c r="P2096" s="176"/>
      <c r="Q2096" s="497"/>
      <c r="R2096" s="496"/>
      <c r="S2096" s="2"/>
      <c r="T2096" s="2"/>
      <c r="U2096" s="2"/>
      <c r="V2096" s="2"/>
    </row>
    <row r="2097" spans="1:22" s="8" customFormat="1" ht="17.25" thickBot="1" x14ac:dyDescent="0.3">
      <c r="A2097" s="1066" t="s">
        <v>628</v>
      </c>
      <c r="B2097" s="1066"/>
      <c r="C2097" s="342"/>
      <c r="D2097" s="945">
        <f>SUM(D2095:D2096)</f>
        <v>3699906.67</v>
      </c>
      <c r="E2097" s="942"/>
      <c r="F2097" s="943"/>
      <c r="G2097" s="945">
        <f>SUM(G2095:G2096)</f>
        <v>3722512.4634000002</v>
      </c>
      <c r="H2097" s="941"/>
      <c r="I2097" s="172"/>
      <c r="J2097" s="952">
        <f>SUM(J2095:J2096)</f>
        <v>3699906.67</v>
      </c>
      <c r="K2097" s="945">
        <f>SUM(K2095:K2096)</f>
        <v>3699906.67</v>
      </c>
      <c r="L2097" s="340"/>
      <c r="M2097" s="945"/>
      <c r="N2097" s="878">
        <f>AVERAGE(N2095:N2096)</f>
        <v>1</v>
      </c>
      <c r="O2097" s="694"/>
      <c r="P2097" s="176"/>
      <c r="Q2097" s="497"/>
      <c r="R2097" s="496"/>
      <c r="S2097" s="2"/>
      <c r="T2097" s="2"/>
      <c r="U2097" s="2"/>
      <c r="V2097" s="2"/>
    </row>
    <row r="2098" spans="1:22" s="8" customFormat="1" ht="33" x14ac:dyDescent="0.25">
      <c r="A2098" s="1065">
        <v>93</v>
      </c>
      <c r="B2098" s="1076" t="s">
        <v>7</v>
      </c>
      <c r="C2098" s="339" t="s">
        <v>35</v>
      </c>
      <c r="D2098" s="339">
        <v>280687.78000000003</v>
      </c>
      <c r="E2098" s="999" t="s">
        <v>1066</v>
      </c>
      <c r="F2098" s="1000" t="s">
        <v>661</v>
      </c>
      <c r="G2098" s="339">
        <v>280687.78000000003</v>
      </c>
      <c r="H2098" s="941">
        <v>42658</v>
      </c>
      <c r="I2098" s="172"/>
      <c r="J2098" s="943"/>
      <c r="K2098" s="943"/>
      <c r="L2098" s="941"/>
      <c r="M2098" s="943"/>
      <c r="N2098" s="917">
        <v>1</v>
      </c>
      <c r="O2098" s="736"/>
      <c r="P2098" s="176"/>
      <c r="Q2098" s="201" t="s">
        <v>1114</v>
      </c>
      <c r="R2098" s="496"/>
      <c r="S2098" s="2"/>
      <c r="T2098" s="2"/>
      <c r="U2098" s="2"/>
      <c r="V2098" s="2"/>
    </row>
    <row r="2099" spans="1:22" s="8" customFormat="1" ht="33" x14ac:dyDescent="0.25">
      <c r="A2099" s="1065"/>
      <c r="B2099" s="1076"/>
      <c r="C2099" s="208" t="s">
        <v>36</v>
      </c>
      <c r="D2099" s="208">
        <v>116526.18</v>
      </c>
      <c r="E2099" s="999"/>
      <c r="F2099" s="1000"/>
      <c r="G2099" s="947">
        <v>116526.18</v>
      </c>
      <c r="H2099" s="950" t="s">
        <v>1067</v>
      </c>
      <c r="I2099" s="950">
        <v>42712</v>
      </c>
      <c r="J2099" s="947">
        <v>14968.3</v>
      </c>
      <c r="K2099" s="947">
        <v>14968.3</v>
      </c>
      <c r="L2099" s="950">
        <v>42726</v>
      </c>
      <c r="M2099" s="947"/>
      <c r="N2099" s="534">
        <v>1</v>
      </c>
      <c r="O2099" s="733"/>
      <c r="P2099" s="176"/>
      <c r="Q2099" s="201" t="s">
        <v>1114</v>
      </c>
      <c r="R2099" s="496"/>
      <c r="S2099" s="2"/>
      <c r="T2099" s="2"/>
      <c r="U2099" s="2"/>
      <c r="V2099" s="2"/>
    </row>
    <row r="2100" spans="1:22" s="8" customFormat="1" ht="33" x14ac:dyDescent="0.25">
      <c r="A2100" s="1065"/>
      <c r="B2100" s="1076"/>
      <c r="C2100" s="281" t="s">
        <v>501</v>
      </c>
      <c r="D2100" s="208">
        <v>3930000</v>
      </c>
      <c r="E2100" s="999"/>
      <c r="F2100" s="1000"/>
      <c r="G2100" s="208">
        <v>3522595</v>
      </c>
      <c r="H2100" s="950">
        <v>42657</v>
      </c>
      <c r="I2100" s="950">
        <v>42712</v>
      </c>
      <c r="J2100" s="947">
        <v>3453500.01</v>
      </c>
      <c r="K2100" s="947">
        <v>3453500.01</v>
      </c>
      <c r="L2100" s="950">
        <v>42726</v>
      </c>
      <c r="M2100" s="947"/>
      <c r="N2100" s="534">
        <v>1</v>
      </c>
      <c r="O2100" s="704"/>
      <c r="P2100" s="176"/>
      <c r="Q2100" s="201" t="s">
        <v>1114</v>
      </c>
      <c r="R2100" s="496"/>
      <c r="S2100" s="2"/>
      <c r="T2100" s="2"/>
      <c r="U2100" s="2"/>
      <c r="V2100" s="2"/>
    </row>
    <row r="2101" spans="1:22" s="8" customFormat="1" ht="49.5" x14ac:dyDescent="0.25">
      <c r="A2101" s="1065"/>
      <c r="B2101" s="1076"/>
      <c r="C2101" s="356" t="s">
        <v>37</v>
      </c>
      <c r="D2101" s="357">
        <v>154426.6</v>
      </c>
      <c r="E2101" s="690" t="s">
        <v>622</v>
      </c>
      <c r="F2101" s="361" t="s">
        <v>614</v>
      </c>
      <c r="G2101" s="357">
        <v>154426.6</v>
      </c>
      <c r="H2101" s="360">
        <v>42384</v>
      </c>
      <c r="I2101" s="360">
        <v>42570</v>
      </c>
      <c r="J2101" s="361">
        <v>130870.05</v>
      </c>
      <c r="K2101" s="361">
        <v>130870.05</v>
      </c>
      <c r="L2101" s="360">
        <v>42724</v>
      </c>
      <c r="M2101" s="361"/>
      <c r="N2101" s="539"/>
      <c r="O2101" s="466" t="s">
        <v>734</v>
      </c>
      <c r="P2101" s="176"/>
      <c r="Q2101" s="497"/>
      <c r="R2101" s="496"/>
      <c r="S2101" s="2"/>
      <c r="T2101" s="2"/>
      <c r="U2101" s="2"/>
      <c r="V2101" s="2"/>
    </row>
    <row r="2102" spans="1:22" s="11" customFormat="1" ht="33" outlineLevel="1" x14ac:dyDescent="0.25">
      <c r="A2102" s="1065"/>
      <c r="B2102" s="1076"/>
      <c r="C2102" s="549" t="s">
        <v>1095</v>
      </c>
      <c r="D2102" s="169">
        <v>42048.578336564897</v>
      </c>
      <c r="E2102" s="942"/>
      <c r="F2102" s="943"/>
      <c r="G2102" s="169"/>
      <c r="H2102" s="941"/>
      <c r="I2102" s="941"/>
      <c r="J2102" s="943"/>
      <c r="K2102" s="943"/>
      <c r="L2102" s="941"/>
      <c r="M2102" s="943"/>
      <c r="N2102" s="915"/>
      <c r="O2102" s="287"/>
      <c r="P2102" s="176"/>
      <c r="Q2102" s="446"/>
      <c r="R2102" s="335"/>
      <c r="S2102" s="2"/>
      <c r="T2102" s="2"/>
      <c r="U2102" s="2"/>
      <c r="V2102" s="2"/>
    </row>
    <row r="2103" spans="1:22" s="8" customFormat="1" ht="17.25" thickBot="1" x14ac:dyDescent="0.3">
      <c r="A2103" s="1066" t="s">
        <v>628</v>
      </c>
      <c r="B2103" s="1066"/>
      <c r="C2103" s="339"/>
      <c r="D2103" s="945">
        <f>SUM(D2098:D2102)</f>
        <v>4523689.1383365644</v>
      </c>
      <c r="E2103" s="942"/>
      <c r="F2103" s="943"/>
      <c r="G2103" s="945">
        <f>SUM(G2098:G2101)</f>
        <v>4074235.56</v>
      </c>
      <c r="H2103" s="941"/>
      <c r="I2103" s="172"/>
      <c r="J2103" s="952">
        <f>SUM(J2098:J2101)</f>
        <v>3599338.3599999994</v>
      </c>
      <c r="K2103" s="945">
        <f>SUM(K2098:K2101)</f>
        <v>3599338.3599999994</v>
      </c>
      <c r="L2103" s="340"/>
      <c r="M2103" s="945"/>
      <c r="N2103" s="878">
        <f>AVERAGE(N2098:N2101)</f>
        <v>1</v>
      </c>
      <c r="O2103" s="713"/>
      <c r="P2103" s="176"/>
      <c r="Q2103" s="497"/>
      <c r="R2103" s="496"/>
      <c r="S2103" s="2"/>
      <c r="T2103" s="2"/>
      <c r="U2103" s="2"/>
      <c r="V2103" s="2"/>
    </row>
    <row r="2104" spans="1:22" s="56" customFormat="1" ht="33" x14ac:dyDescent="0.25">
      <c r="A2104" s="1065">
        <v>94</v>
      </c>
      <c r="B2104" s="1064" t="s">
        <v>611</v>
      </c>
      <c r="C2104" s="281" t="s">
        <v>500</v>
      </c>
      <c r="D2104" s="208">
        <v>4131171.74</v>
      </c>
      <c r="E2104" s="948" t="s">
        <v>1104</v>
      </c>
      <c r="F2104" s="947" t="s">
        <v>661</v>
      </c>
      <c r="G2104" s="208">
        <v>4131171.74</v>
      </c>
      <c r="H2104" s="950">
        <v>42674</v>
      </c>
      <c r="I2104" s="950">
        <v>42706</v>
      </c>
      <c r="J2104" s="947">
        <v>3890262.94</v>
      </c>
      <c r="K2104" s="947">
        <v>3890262.94</v>
      </c>
      <c r="L2104" s="950"/>
      <c r="M2104" s="947"/>
      <c r="N2104" s="909">
        <v>0.7</v>
      </c>
      <c r="O2104" s="718"/>
      <c r="P2104" s="457"/>
      <c r="Q2104" s="622"/>
      <c r="R2104" s="626"/>
      <c r="S2104" s="70"/>
      <c r="T2104" s="70"/>
      <c r="U2104" s="70"/>
      <c r="V2104" s="70"/>
    </row>
    <row r="2105" spans="1:22" s="8" customFormat="1" ht="49.5" x14ac:dyDescent="0.25">
      <c r="A2105" s="1065"/>
      <c r="B2105" s="1064"/>
      <c r="C2105" s="356" t="s">
        <v>37</v>
      </c>
      <c r="D2105" s="357">
        <v>95869.49</v>
      </c>
      <c r="E2105" s="690" t="s">
        <v>617</v>
      </c>
      <c r="F2105" s="361" t="s">
        <v>614</v>
      </c>
      <c r="G2105" s="357">
        <f>81245.33*1.18</f>
        <v>95869.489399999991</v>
      </c>
      <c r="H2105" s="360">
        <v>42451</v>
      </c>
      <c r="I2105" s="360">
        <v>42495</v>
      </c>
      <c r="J2105" s="361">
        <v>95869.49</v>
      </c>
      <c r="K2105" s="361">
        <v>95869.49</v>
      </c>
      <c r="L2105" s="360"/>
      <c r="M2105" s="361"/>
      <c r="N2105" s="539"/>
      <c r="O2105" s="466" t="s">
        <v>877</v>
      </c>
      <c r="P2105" s="176"/>
      <c r="Q2105" s="497"/>
      <c r="R2105" s="496"/>
      <c r="S2105" s="2"/>
      <c r="T2105" s="2"/>
      <c r="U2105" s="2"/>
      <c r="V2105" s="2"/>
    </row>
    <row r="2106" spans="1:22" s="11" customFormat="1" ht="33" outlineLevel="1" x14ac:dyDescent="0.25">
      <c r="A2106" s="1065"/>
      <c r="B2106" s="1064"/>
      <c r="C2106" s="549" t="s">
        <v>1095</v>
      </c>
      <c r="D2106" s="169">
        <v>48826.798326965902</v>
      </c>
      <c r="E2106" s="942"/>
      <c r="F2106" s="943"/>
      <c r="G2106" s="169"/>
      <c r="H2106" s="941"/>
      <c r="I2106" s="941"/>
      <c r="J2106" s="943"/>
      <c r="K2106" s="943"/>
      <c r="L2106" s="941"/>
      <c r="M2106" s="943"/>
      <c r="N2106" s="915"/>
      <c r="O2106" s="287"/>
      <c r="P2106" s="176"/>
      <c r="Q2106" s="446"/>
      <c r="R2106" s="335"/>
      <c r="S2106" s="2"/>
      <c r="T2106" s="2"/>
      <c r="U2106" s="2"/>
      <c r="V2106" s="2"/>
    </row>
    <row r="2107" spans="1:22" s="8" customFormat="1" ht="17.25" thickBot="1" x14ac:dyDescent="0.3">
      <c r="A2107" s="1066" t="s">
        <v>628</v>
      </c>
      <c r="B2107" s="1066"/>
      <c r="C2107" s="342"/>
      <c r="D2107" s="945">
        <f>SUM(D2104:D2106)</f>
        <v>4275868.0283269668</v>
      </c>
      <c r="E2107" s="942"/>
      <c r="F2107" s="943"/>
      <c r="G2107" s="945">
        <f>SUM(G2104:G2105)</f>
        <v>4227041.2294000005</v>
      </c>
      <c r="H2107" s="941"/>
      <c r="I2107" s="172"/>
      <c r="J2107" s="952">
        <f>SUM(J2104:J2105)</f>
        <v>3986132.43</v>
      </c>
      <c r="K2107" s="945">
        <f>SUM(K2104:K2105)</f>
        <v>3986132.43</v>
      </c>
      <c r="L2107" s="340"/>
      <c r="M2107" s="945"/>
      <c r="N2107" s="878">
        <f>AVERAGE(N2104:N2105)</f>
        <v>0.7</v>
      </c>
      <c r="O2107" s="694"/>
      <c r="P2107" s="176"/>
      <c r="Q2107" s="497"/>
      <c r="R2107" s="496"/>
      <c r="S2107" s="2"/>
      <c r="T2107" s="2"/>
      <c r="U2107" s="2"/>
      <c r="V2107" s="2"/>
    </row>
    <row r="2108" spans="1:22" s="6" customFormat="1" ht="33" x14ac:dyDescent="0.25">
      <c r="A2108" s="1065">
        <v>95</v>
      </c>
      <c r="B2108" s="1064" t="s">
        <v>447</v>
      </c>
      <c r="C2108" s="281" t="s">
        <v>500</v>
      </c>
      <c r="D2108" s="208">
        <v>3417435</v>
      </c>
      <c r="E2108" s="948" t="s">
        <v>795</v>
      </c>
      <c r="F2108" s="947" t="s">
        <v>796</v>
      </c>
      <c r="G2108" s="208">
        <v>3356700.99</v>
      </c>
      <c r="H2108" s="950">
        <v>42504</v>
      </c>
      <c r="I2108" s="950">
        <v>42520</v>
      </c>
      <c r="J2108" s="947">
        <v>3417435</v>
      </c>
      <c r="K2108" s="947">
        <v>3417435</v>
      </c>
      <c r="L2108" s="950"/>
      <c r="M2108" s="947">
        <f>J2108-D2108</f>
        <v>0</v>
      </c>
      <c r="N2108" s="909">
        <v>1</v>
      </c>
      <c r="O2108" s="718"/>
      <c r="P2108" s="176"/>
      <c r="Q2108" s="497"/>
      <c r="R2108" s="620"/>
      <c r="S2108" s="9"/>
      <c r="T2108" s="9"/>
      <c r="U2108" s="9"/>
      <c r="V2108" s="9"/>
    </row>
    <row r="2109" spans="1:22" s="8" customFormat="1" ht="49.5" x14ac:dyDescent="0.25">
      <c r="A2109" s="1065"/>
      <c r="B2109" s="1064"/>
      <c r="C2109" s="356" t="s">
        <v>37</v>
      </c>
      <c r="D2109" s="357">
        <v>67097.69</v>
      </c>
      <c r="E2109" s="690" t="s">
        <v>617</v>
      </c>
      <c r="F2109" s="361" t="s">
        <v>614</v>
      </c>
      <c r="G2109" s="357">
        <f>56862.45*1.18</f>
        <v>67097.690999999992</v>
      </c>
      <c r="H2109" s="360">
        <v>42451</v>
      </c>
      <c r="I2109" s="360">
        <v>42495</v>
      </c>
      <c r="J2109" s="361">
        <v>67097.69</v>
      </c>
      <c r="K2109" s="361">
        <v>67097.69</v>
      </c>
      <c r="L2109" s="360"/>
      <c r="M2109" s="361"/>
      <c r="N2109" s="539"/>
      <c r="O2109" s="466" t="s">
        <v>734</v>
      </c>
      <c r="P2109" s="176"/>
      <c r="Q2109" s="497"/>
      <c r="R2109" s="496"/>
      <c r="S2109" s="2"/>
      <c r="T2109" s="2"/>
      <c r="U2109" s="2"/>
      <c r="V2109" s="2"/>
    </row>
    <row r="2110" spans="1:22" s="8" customFormat="1" ht="17.25" thickBot="1" x14ac:dyDescent="0.3">
      <c r="A2110" s="1066" t="s">
        <v>628</v>
      </c>
      <c r="B2110" s="1066"/>
      <c r="C2110" s="342"/>
      <c r="D2110" s="945">
        <f>SUM(D2108:D2109)</f>
        <v>3484532.69</v>
      </c>
      <c r="E2110" s="942"/>
      <c r="F2110" s="943"/>
      <c r="G2110" s="945">
        <f>SUM(G2108:G2109)</f>
        <v>3423798.6810000003</v>
      </c>
      <c r="H2110" s="941"/>
      <c r="I2110" s="172"/>
      <c r="J2110" s="952">
        <f t="shared" ref="J2110" si="146">SUM(J2108:J2109)</f>
        <v>3484532.69</v>
      </c>
      <c r="K2110" s="945">
        <f>SUM(K2108:K2109)</f>
        <v>3484532.69</v>
      </c>
      <c r="L2110" s="340"/>
      <c r="M2110" s="945"/>
      <c r="N2110" s="878">
        <f>AVERAGE(N2108:N2109)</f>
        <v>1</v>
      </c>
      <c r="O2110" s="694"/>
      <c r="P2110" s="176"/>
      <c r="Q2110" s="497"/>
      <c r="R2110" s="496"/>
      <c r="S2110" s="2"/>
      <c r="T2110" s="2"/>
      <c r="U2110" s="2"/>
      <c r="V2110" s="2"/>
    </row>
    <row r="2111" spans="1:22" s="6" customFormat="1" ht="33" x14ac:dyDescent="0.25">
      <c r="A2111" s="1065">
        <v>96</v>
      </c>
      <c r="B2111" s="1064" t="s">
        <v>448</v>
      </c>
      <c r="C2111" s="281" t="s">
        <v>500</v>
      </c>
      <c r="D2111" s="208">
        <v>3306484.1</v>
      </c>
      <c r="E2111" s="948" t="s">
        <v>795</v>
      </c>
      <c r="F2111" s="947" t="s">
        <v>796</v>
      </c>
      <c r="G2111" s="208">
        <v>3260219.29</v>
      </c>
      <c r="H2111" s="950">
        <v>42504</v>
      </c>
      <c r="I2111" s="950">
        <v>42520</v>
      </c>
      <c r="J2111" s="947">
        <v>3306484.1</v>
      </c>
      <c r="K2111" s="947">
        <v>3306484.1</v>
      </c>
      <c r="L2111" s="950"/>
      <c r="M2111" s="947">
        <f>J2111-D2111</f>
        <v>0</v>
      </c>
      <c r="N2111" s="916">
        <v>1</v>
      </c>
      <c r="O2111" s="809"/>
      <c r="P2111" s="176"/>
      <c r="Q2111" s="497"/>
      <c r="R2111" s="620"/>
      <c r="S2111" s="9"/>
      <c r="T2111" s="9"/>
      <c r="U2111" s="9"/>
      <c r="V2111" s="9"/>
    </row>
    <row r="2112" spans="1:22" s="8" customFormat="1" ht="49.5" x14ac:dyDescent="0.25">
      <c r="A2112" s="1065"/>
      <c r="B2112" s="1064"/>
      <c r="C2112" s="356" t="s">
        <v>37</v>
      </c>
      <c r="D2112" s="357">
        <v>66534.3</v>
      </c>
      <c r="E2112" s="690" t="s">
        <v>617</v>
      </c>
      <c r="F2112" s="361" t="s">
        <v>614</v>
      </c>
      <c r="G2112" s="357">
        <f>56385*1.18</f>
        <v>66534.3</v>
      </c>
      <c r="H2112" s="360">
        <v>42451</v>
      </c>
      <c r="I2112" s="360">
        <v>42495</v>
      </c>
      <c r="J2112" s="361">
        <v>66534.3</v>
      </c>
      <c r="K2112" s="361">
        <v>66534.3</v>
      </c>
      <c r="L2112" s="360"/>
      <c r="M2112" s="361"/>
      <c r="N2112" s="539"/>
      <c r="O2112" s="466" t="s">
        <v>759</v>
      </c>
      <c r="P2112" s="176"/>
      <c r="Q2112" s="497"/>
      <c r="R2112" s="496"/>
      <c r="S2112" s="2"/>
      <c r="T2112" s="2"/>
      <c r="U2112" s="2"/>
      <c r="V2112" s="2"/>
    </row>
    <row r="2113" spans="1:22" s="8" customFormat="1" ht="17.25" thickBot="1" x14ac:dyDescent="0.3">
      <c r="A2113" s="1066" t="s">
        <v>628</v>
      </c>
      <c r="B2113" s="1066"/>
      <c r="C2113" s="342"/>
      <c r="D2113" s="945">
        <f>SUM(D2111:D2112)</f>
        <v>3373018.4</v>
      </c>
      <c r="E2113" s="942"/>
      <c r="F2113" s="943"/>
      <c r="G2113" s="945">
        <f>SUM(G2111:G2112)</f>
        <v>3326753.59</v>
      </c>
      <c r="H2113" s="941"/>
      <c r="I2113" s="172"/>
      <c r="J2113" s="952">
        <f t="shared" ref="J2113" si="147">SUM(J2111:J2112)</f>
        <v>3373018.4</v>
      </c>
      <c r="K2113" s="945">
        <f>SUM(K2111:K2112)</f>
        <v>3373018.4</v>
      </c>
      <c r="L2113" s="340"/>
      <c r="M2113" s="945"/>
      <c r="N2113" s="878">
        <f>AVERAGE(N2111:N2112)</f>
        <v>1</v>
      </c>
      <c r="O2113" s="694"/>
      <c r="P2113" s="176"/>
      <c r="Q2113" s="497"/>
      <c r="R2113" s="496"/>
      <c r="S2113" s="2"/>
      <c r="T2113" s="2"/>
      <c r="U2113" s="2"/>
      <c r="V2113" s="2"/>
    </row>
    <row r="2114" spans="1:22" s="6" customFormat="1" ht="33" x14ac:dyDescent="0.25">
      <c r="A2114" s="1065">
        <v>97</v>
      </c>
      <c r="B2114" s="1076" t="s">
        <v>449</v>
      </c>
      <c r="C2114" s="208" t="s">
        <v>38</v>
      </c>
      <c r="D2114" s="208">
        <v>709556.86</v>
      </c>
      <c r="E2114" s="948" t="s">
        <v>993</v>
      </c>
      <c r="F2114" s="947" t="s">
        <v>770</v>
      </c>
      <c r="G2114" s="208">
        <v>569637.43999999994</v>
      </c>
      <c r="H2114" s="950">
        <v>42633</v>
      </c>
      <c r="I2114" s="950">
        <v>42655</v>
      </c>
      <c r="J2114" s="947">
        <v>709556.86</v>
      </c>
      <c r="K2114" s="947">
        <v>709556.86</v>
      </c>
      <c r="L2114" s="254"/>
      <c r="M2114" s="255"/>
      <c r="N2114" s="909">
        <v>1</v>
      </c>
      <c r="O2114" s="736"/>
      <c r="P2114" s="176"/>
      <c r="Q2114" s="201" t="s">
        <v>1121</v>
      </c>
      <c r="R2114" s="620"/>
      <c r="S2114" s="9"/>
      <c r="T2114" s="9"/>
      <c r="U2114" s="9"/>
      <c r="V2114" s="9"/>
    </row>
    <row r="2115" spans="1:22" s="8" customFormat="1" ht="49.5" x14ac:dyDescent="0.25">
      <c r="A2115" s="1065"/>
      <c r="B2115" s="1076"/>
      <c r="C2115" s="356" t="s">
        <v>37</v>
      </c>
      <c r="D2115" s="357">
        <v>70560.62</v>
      </c>
      <c r="E2115" s="690" t="s">
        <v>622</v>
      </c>
      <c r="F2115" s="361" t="s">
        <v>614</v>
      </c>
      <c r="G2115" s="357">
        <v>70560.62</v>
      </c>
      <c r="H2115" s="360">
        <v>42384</v>
      </c>
      <c r="I2115" s="360">
        <v>42571</v>
      </c>
      <c r="J2115" s="361">
        <v>59797.16</v>
      </c>
      <c r="K2115" s="361">
        <v>59797.16</v>
      </c>
      <c r="L2115" s="360">
        <v>42724</v>
      </c>
      <c r="M2115" s="361"/>
      <c r="N2115" s="539"/>
      <c r="O2115" s="466" t="s">
        <v>734</v>
      </c>
      <c r="P2115" s="176"/>
      <c r="Q2115" s="497"/>
      <c r="R2115" s="496"/>
      <c r="S2115" s="2"/>
      <c r="T2115" s="2"/>
      <c r="U2115" s="2"/>
      <c r="V2115" s="2"/>
    </row>
    <row r="2116" spans="1:22" s="8" customFormat="1" ht="17.25" thickBot="1" x14ac:dyDescent="0.3">
      <c r="A2116" s="1066" t="s">
        <v>628</v>
      </c>
      <c r="B2116" s="1066"/>
      <c r="C2116" s="339"/>
      <c r="D2116" s="945">
        <f>SUM(D2114:D2115)</f>
        <v>780117.48</v>
      </c>
      <c r="E2116" s="942"/>
      <c r="F2116" s="943"/>
      <c r="G2116" s="945">
        <f>SUM(G2114:G2115)</f>
        <v>640198.05999999994</v>
      </c>
      <c r="H2116" s="941"/>
      <c r="I2116" s="172"/>
      <c r="J2116" s="952">
        <f>SUM(J2114:J2115)</f>
        <v>769354.02</v>
      </c>
      <c r="K2116" s="945">
        <f>SUM(K2114:K2115)</f>
        <v>769354.02</v>
      </c>
      <c r="L2116" s="340"/>
      <c r="M2116" s="945"/>
      <c r="N2116" s="878">
        <f>AVERAGE(N2114:N2115)</f>
        <v>1</v>
      </c>
      <c r="O2116" s="713"/>
      <c r="P2116" s="176"/>
      <c r="Q2116" s="497"/>
      <c r="R2116" s="496"/>
      <c r="S2116" s="2"/>
      <c r="T2116" s="2"/>
      <c r="U2116" s="2"/>
      <c r="V2116" s="2"/>
    </row>
    <row r="2117" spans="1:22" s="6" customFormat="1" ht="33" x14ac:dyDescent="0.25">
      <c r="A2117" s="1065">
        <v>98</v>
      </c>
      <c r="B2117" s="1076" t="s">
        <v>8</v>
      </c>
      <c r="C2117" s="208" t="s">
        <v>38</v>
      </c>
      <c r="D2117" s="208">
        <v>1375101.06</v>
      </c>
      <c r="E2117" s="948" t="s">
        <v>993</v>
      </c>
      <c r="F2117" s="947" t="s">
        <v>770</v>
      </c>
      <c r="G2117" s="208">
        <v>1174847.8999999999</v>
      </c>
      <c r="H2117" s="950">
        <v>42625</v>
      </c>
      <c r="I2117" s="950">
        <v>42667</v>
      </c>
      <c r="J2117" s="947">
        <v>1375101.06</v>
      </c>
      <c r="K2117" s="947">
        <v>1375101.06</v>
      </c>
      <c r="L2117" s="254"/>
      <c r="M2117" s="255"/>
      <c r="N2117" s="909">
        <v>1</v>
      </c>
      <c r="O2117" s="736"/>
      <c r="P2117" s="176"/>
      <c r="Q2117" s="201" t="s">
        <v>1121</v>
      </c>
      <c r="R2117" s="620"/>
      <c r="S2117" s="9"/>
      <c r="T2117" s="9"/>
      <c r="U2117" s="9"/>
      <c r="V2117" s="9"/>
    </row>
    <row r="2118" spans="1:22" s="8" customFormat="1" ht="33" x14ac:dyDescent="0.25">
      <c r="A2118" s="1065"/>
      <c r="B2118" s="1076"/>
      <c r="C2118" s="208" t="s">
        <v>34</v>
      </c>
      <c r="D2118" s="208">
        <v>7191624.2199999997</v>
      </c>
      <c r="E2118" s="948" t="s">
        <v>993</v>
      </c>
      <c r="F2118" s="947" t="s">
        <v>770</v>
      </c>
      <c r="G2118" s="947">
        <v>8352596.7800000003</v>
      </c>
      <c r="H2118" s="950">
        <v>42625</v>
      </c>
      <c r="I2118" s="950">
        <v>42667</v>
      </c>
      <c r="J2118" s="947">
        <v>7191624.2199999997</v>
      </c>
      <c r="K2118" s="947">
        <v>7191624.2199999997</v>
      </c>
      <c r="L2118" s="950"/>
      <c r="M2118" s="947"/>
      <c r="N2118" s="534">
        <v>1</v>
      </c>
      <c r="O2118" s="733"/>
      <c r="P2118" s="176"/>
      <c r="Q2118" s="201" t="s">
        <v>1121</v>
      </c>
      <c r="R2118" s="496"/>
      <c r="S2118" s="2"/>
      <c r="T2118" s="2"/>
      <c r="U2118" s="2"/>
      <c r="V2118" s="2"/>
    </row>
    <row r="2119" spans="1:22" s="8" customFormat="1" ht="49.5" x14ac:dyDescent="0.25">
      <c r="A2119" s="1065"/>
      <c r="B2119" s="1076"/>
      <c r="C2119" s="356" t="s">
        <v>37</v>
      </c>
      <c r="D2119" s="357">
        <v>203440.61</v>
      </c>
      <c r="E2119" s="690" t="s">
        <v>622</v>
      </c>
      <c r="F2119" s="361" t="s">
        <v>614</v>
      </c>
      <c r="G2119" s="357">
        <v>203440.61</v>
      </c>
      <c r="H2119" s="360">
        <v>42384</v>
      </c>
      <c r="I2119" s="360">
        <v>42571</v>
      </c>
      <c r="J2119" s="361">
        <v>172407.36</v>
      </c>
      <c r="K2119" s="361">
        <v>172407.36</v>
      </c>
      <c r="L2119" s="360">
        <v>42724</v>
      </c>
      <c r="M2119" s="361"/>
      <c r="N2119" s="539"/>
      <c r="O2119" s="466" t="s">
        <v>734</v>
      </c>
      <c r="P2119" s="176"/>
      <c r="Q2119" s="497"/>
      <c r="R2119" s="496"/>
      <c r="S2119" s="2"/>
      <c r="T2119" s="2"/>
      <c r="U2119" s="2"/>
      <c r="V2119" s="2"/>
    </row>
    <row r="2120" spans="1:22" s="8" customFormat="1" ht="17.25" thickBot="1" x14ac:dyDescent="0.3">
      <c r="A2120" s="1066" t="s">
        <v>628</v>
      </c>
      <c r="B2120" s="1066"/>
      <c r="C2120" s="339"/>
      <c r="D2120" s="945">
        <f>SUM(D2117:D2119)</f>
        <v>8770165.8899999987</v>
      </c>
      <c r="E2120" s="942"/>
      <c r="F2120" s="943"/>
      <c r="G2120" s="945">
        <f>SUM(G2117:G2119)</f>
        <v>9730885.2899999991</v>
      </c>
      <c r="H2120" s="941"/>
      <c r="I2120" s="172"/>
      <c r="J2120" s="952">
        <f>SUM(J2117:J2119)</f>
        <v>8739132.6399999987</v>
      </c>
      <c r="K2120" s="945">
        <f>SUM(K2117:K2119)</f>
        <v>8739132.6399999987</v>
      </c>
      <c r="L2120" s="340"/>
      <c r="M2120" s="945"/>
      <c r="N2120" s="878">
        <f>AVERAGE(N2117:N2119)</f>
        <v>1</v>
      </c>
      <c r="O2120" s="713"/>
      <c r="P2120" s="176"/>
      <c r="Q2120" s="497"/>
      <c r="R2120" s="496"/>
      <c r="S2120" s="2"/>
      <c r="T2120" s="2"/>
      <c r="U2120" s="2"/>
      <c r="V2120" s="2"/>
    </row>
    <row r="2121" spans="1:22" s="6" customFormat="1" ht="33" x14ac:dyDescent="0.25">
      <c r="A2121" s="1065">
        <v>99</v>
      </c>
      <c r="B2121" s="1076" t="s">
        <v>450</v>
      </c>
      <c r="C2121" s="208" t="s">
        <v>38</v>
      </c>
      <c r="D2121" s="208">
        <v>1324530.25</v>
      </c>
      <c r="E2121" s="948" t="s">
        <v>993</v>
      </c>
      <c r="F2121" s="947" t="s">
        <v>770</v>
      </c>
      <c r="G2121" s="208">
        <v>1136335.1499999999</v>
      </c>
      <c r="H2121" s="950">
        <v>42625</v>
      </c>
      <c r="I2121" s="950">
        <v>42641</v>
      </c>
      <c r="J2121" s="947">
        <v>1324530.25</v>
      </c>
      <c r="K2121" s="947">
        <v>1324530.25</v>
      </c>
      <c r="L2121" s="950"/>
      <c r="M2121" s="947"/>
      <c r="N2121" s="909">
        <v>1</v>
      </c>
      <c r="O2121" s="736"/>
      <c r="P2121" s="176"/>
      <c r="Q2121" s="201" t="s">
        <v>1121</v>
      </c>
      <c r="R2121" s="620"/>
      <c r="S2121" s="9"/>
      <c r="T2121" s="9"/>
      <c r="U2121" s="9"/>
      <c r="V2121" s="9"/>
    </row>
    <row r="2122" spans="1:22" s="8" customFormat="1" ht="33" x14ac:dyDescent="0.25">
      <c r="A2122" s="1065"/>
      <c r="B2122" s="1076"/>
      <c r="C2122" s="208" t="s">
        <v>34</v>
      </c>
      <c r="D2122" s="208">
        <v>5464529.0899999999</v>
      </c>
      <c r="E2122" s="948" t="s">
        <v>993</v>
      </c>
      <c r="F2122" s="947" t="s">
        <v>770</v>
      </c>
      <c r="G2122" s="947">
        <v>5766582.7300000004</v>
      </c>
      <c r="H2122" s="950">
        <v>42625</v>
      </c>
      <c r="I2122" s="950">
        <v>42641</v>
      </c>
      <c r="J2122" s="947">
        <v>5464529.0899999999</v>
      </c>
      <c r="K2122" s="947">
        <v>5464529.0899999999</v>
      </c>
      <c r="L2122" s="950"/>
      <c r="M2122" s="947"/>
      <c r="N2122" s="534">
        <v>1</v>
      </c>
      <c r="O2122" s="733"/>
      <c r="P2122" s="176"/>
      <c r="Q2122" s="201" t="s">
        <v>1121</v>
      </c>
      <c r="R2122" s="496"/>
      <c r="S2122" s="2"/>
      <c r="T2122" s="2"/>
      <c r="U2122" s="2"/>
      <c r="V2122" s="2"/>
    </row>
    <row r="2123" spans="1:22" s="8" customFormat="1" ht="49.5" x14ac:dyDescent="0.25">
      <c r="A2123" s="1065"/>
      <c r="B2123" s="1076"/>
      <c r="C2123" s="356" t="s">
        <v>37</v>
      </c>
      <c r="D2123" s="357"/>
      <c r="E2123" s="690" t="s">
        <v>622</v>
      </c>
      <c r="F2123" s="361" t="s">
        <v>614</v>
      </c>
      <c r="G2123" s="357">
        <f>D2123*0.99999965591</f>
        <v>0</v>
      </c>
      <c r="H2123" s="360">
        <v>42384</v>
      </c>
      <c r="I2123" s="360">
        <v>42571</v>
      </c>
      <c r="J2123" s="361">
        <v>166925.04999999999</v>
      </c>
      <c r="K2123" s="361">
        <v>166925.04999999999</v>
      </c>
      <c r="L2123" s="360">
        <v>42724</v>
      </c>
      <c r="M2123" s="361"/>
      <c r="N2123" s="539"/>
      <c r="O2123" s="466" t="s">
        <v>878</v>
      </c>
      <c r="P2123" s="176"/>
      <c r="Q2123" s="497"/>
      <c r="R2123" s="496"/>
      <c r="S2123" s="2"/>
      <c r="T2123" s="2"/>
      <c r="U2123" s="2"/>
      <c r="V2123" s="2"/>
    </row>
    <row r="2124" spans="1:22" s="8" customFormat="1" ht="33" x14ac:dyDescent="0.25">
      <c r="A2124" s="1065"/>
      <c r="B2124" s="1076"/>
      <c r="C2124" s="339" t="s">
        <v>501</v>
      </c>
      <c r="D2124" s="339">
        <v>4590000</v>
      </c>
      <c r="E2124" s="303" t="s">
        <v>1186</v>
      </c>
      <c r="F2124" s="303" t="s">
        <v>804</v>
      </c>
      <c r="G2124" s="339">
        <v>4590000</v>
      </c>
      <c r="H2124" s="511">
        <v>42916</v>
      </c>
      <c r="I2124" s="302"/>
      <c r="J2124" s="303"/>
      <c r="K2124" s="303"/>
      <c r="L2124" s="511"/>
      <c r="M2124" s="303"/>
      <c r="N2124" s="928">
        <v>0</v>
      </c>
      <c r="O2124" s="733"/>
      <c r="P2124" s="176">
        <v>2017</v>
      </c>
      <c r="Q2124" s="497"/>
      <c r="R2124" s="496"/>
      <c r="S2124" s="2"/>
      <c r="T2124" s="2"/>
      <c r="U2124" s="2"/>
      <c r="V2124" s="2"/>
    </row>
    <row r="2125" spans="1:22" s="8" customFormat="1" ht="49.5" x14ac:dyDescent="0.25">
      <c r="A2125" s="1065"/>
      <c r="B2125" s="1076"/>
      <c r="C2125" s="356" t="s">
        <v>37</v>
      </c>
      <c r="D2125" s="357">
        <v>104602.92</v>
      </c>
      <c r="E2125" s="690" t="s">
        <v>617</v>
      </c>
      <c r="F2125" s="361" t="s">
        <v>614</v>
      </c>
      <c r="G2125" s="357">
        <f>88646.54*1.18</f>
        <v>104602.91719999998</v>
      </c>
      <c r="H2125" s="360">
        <v>42451</v>
      </c>
      <c r="I2125" s="360">
        <v>42495</v>
      </c>
      <c r="J2125" s="361">
        <v>104602.92</v>
      </c>
      <c r="K2125" s="361">
        <v>104602.92</v>
      </c>
      <c r="L2125" s="360"/>
      <c r="M2125" s="361"/>
      <c r="N2125" s="539"/>
      <c r="O2125" s="466"/>
      <c r="P2125" s="176"/>
      <c r="Q2125" s="497"/>
      <c r="R2125" s="496"/>
      <c r="S2125" s="2"/>
      <c r="T2125" s="2"/>
      <c r="U2125" s="2"/>
      <c r="V2125" s="2"/>
    </row>
    <row r="2126" spans="1:22" s="11" customFormat="1" ht="33" outlineLevel="1" x14ac:dyDescent="0.25">
      <c r="A2126" s="1065"/>
      <c r="B2126" s="1076"/>
      <c r="C2126" s="549" t="s">
        <v>1095</v>
      </c>
      <c r="D2126" s="169">
        <v>132104.283314823</v>
      </c>
      <c r="E2126" s="942"/>
      <c r="F2126" s="943"/>
      <c r="G2126" s="169"/>
      <c r="H2126" s="941"/>
      <c r="I2126" s="941"/>
      <c r="J2126" s="943"/>
      <c r="K2126" s="943"/>
      <c r="L2126" s="941"/>
      <c r="M2126" s="943"/>
      <c r="N2126" s="915"/>
      <c r="O2126" s="287"/>
      <c r="P2126" s="176"/>
      <c r="Q2126" s="446"/>
      <c r="R2126" s="335"/>
      <c r="S2126" s="2"/>
      <c r="T2126" s="2"/>
      <c r="U2126" s="2"/>
      <c r="V2126" s="2"/>
    </row>
    <row r="2127" spans="1:22" s="8" customFormat="1" ht="17.25" thickBot="1" x14ac:dyDescent="0.3">
      <c r="A2127" s="1066" t="s">
        <v>628</v>
      </c>
      <c r="B2127" s="1066"/>
      <c r="C2127" s="339"/>
      <c r="D2127" s="945">
        <f>SUM(D2121:D2126)</f>
        <v>11615766.543314822</v>
      </c>
      <c r="E2127" s="942"/>
      <c r="F2127" s="943"/>
      <c r="G2127" s="945">
        <f>SUM(G2121:G2125)</f>
        <v>11597520.7972</v>
      </c>
      <c r="H2127" s="941"/>
      <c r="I2127" s="172"/>
      <c r="J2127" s="952">
        <f>SUM(J2121:J2125)</f>
        <v>7060587.3099999996</v>
      </c>
      <c r="K2127" s="945">
        <f>SUM(K2121:K2125)</f>
        <v>7060587.3099999996</v>
      </c>
      <c r="L2127" s="340"/>
      <c r="M2127" s="945"/>
      <c r="N2127" s="878">
        <f>AVERAGE(N2121:N2125)</f>
        <v>0.66666666666666663</v>
      </c>
      <c r="O2127" s="713"/>
      <c r="P2127" s="176"/>
      <c r="Q2127" s="497"/>
      <c r="R2127" s="496"/>
      <c r="S2127" s="2"/>
      <c r="T2127" s="2"/>
      <c r="U2127" s="2"/>
      <c r="V2127" s="2"/>
    </row>
    <row r="2128" spans="1:22" s="6" customFormat="1" ht="33" x14ac:dyDescent="0.25">
      <c r="A2128" s="1065">
        <v>100</v>
      </c>
      <c r="B2128" s="1076" t="s">
        <v>451</v>
      </c>
      <c r="C2128" s="281" t="s">
        <v>500</v>
      </c>
      <c r="D2128" s="208">
        <v>8617355.5999999996</v>
      </c>
      <c r="E2128" s="948" t="s">
        <v>747</v>
      </c>
      <c r="F2128" s="947" t="s">
        <v>741</v>
      </c>
      <c r="G2128" s="208">
        <v>8965408.4700000007</v>
      </c>
      <c r="H2128" s="950">
        <v>42505</v>
      </c>
      <c r="I2128" s="950">
        <v>42500</v>
      </c>
      <c r="J2128" s="947">
        <v>8617355.5999999996</v>
      </c>
      <c r="K2128" s="947">
        <v>8617355.6000000015</v>
      </c>
      <c r="L2128" s="950"/>
      <c r="M2128" s="947">
        <f>J2128-D2128</f>
        <v>0</v>
      </c>
      <c r="N2128" s="909">
        <v>1</v>
      </c>
      <c r="O2128" s="718"/>
      <c r="P2128" s="176"/>
      <c r="Q2128" s="497"/>
      <c r="R2128" s="620"/>
      <c r="S2128" s="9"/>
      <c r="T2128" s="9"/>
      <c r="U2128" s="9"/>
      <c r="V2128" s="9"/>
    </row>
    <row r="2129" spans="1:22" s="8" customFormat="1" ht="49.5" x14ac:dyDescent="0.25">
      <c r="A2129" s="1065"/>
      <c r="B2129" s="1076"/>
      <c r="C2129" s="356" t="s">
        <v>37</v>
      </c>
      <c r="D2129" s="357">
        <v>101014.44</v>
      </c>
      <c r="E2129" s="690" t="s">
        <v>622</v>
      </c>
      <c r="F2129" s="361" t="s">
        <v>614</v>
      </c>
      <c r="G2129" s="357">
        <v>101014.44</v>
      </c>
      <c r="H2129" s="360">
        <v>42384</v>
      </c>
      <c r="I2129" s="360">
        <v>42403</v>
      </c>
      <c r="J2129" s="361">
        <v>85605.49</v>
      </c>
      <c r="K2129" s="361">
        <v>85605.49</v>
      </c>
      <c r="L2129" s="360">
        <v>42724</v>
      </c>
      <c r="M2129" s="361"/>
      <c r="N2129" s="539"/>
      <c r="O2129" s="466" t="s">
        <v>734</v>
      </c>
      <c r="P2129" s="176"/>
      <c r="Q2129" s="497"/>
      <c r="R2129" s="496"/>
      <c r="S2129" s="2"/>
      <c r="T2129" s="2"/>
      <c r="U2129" s="2"/>
      <c r="V2129" s="2"/>
    </row>
    <row r="2130" spans="1:22" s="8" customFormat="1" ht="17.25" thickBot="1" x14ac:dyDescent="0.3">
      <c r="A2130" s="1066" t="s">
        <v>628</v>
      </c>
      <c r="B2130" s="1066"/>
      <c r="C2130" s="342"/>
      <c r="D2130" s="945">
        <f>SUM(D2128:D2129)</f>
        <v>8718370.0399999991</v>
      </c>
      <c r="E2130" s="942"/>
      <c r="F2130" s="943"/>
      <c r="G2130" s="945">
        <f>SUM(G2128:G2129)</f>
        <v>9066422.9100000001</v>
      </c>
      <c r="H2130" s="941"/>
      <c r="I2130" s="172"/>
      <c r="J2130" s="952">
        <f t="shared" ref="J2130" si="148">SUM(J2128:J2129)</f>
        <v>8702961.0899999999</v>
      </c>
      <c r="K2130" s="945">
        <f>SUM(K2128:K2129)</f>
        <v>8702961.0900000017</v>
      </c>
      <c r="L2130" s="340"/>
      <c r="M2130" s="945"/>
      <c r="N2130" s="878">
        <f>AVERAGE(N2128:N2129)</f>
        <v>1</v>
      </c>
      <c r="O2130" s="694"/>
      <c r="P2130" s="176"/>
      <c r="Q2130" s="497"/>
      <c r="R2130" s="496"/>
      <c r="S2130" s="2"/>
      <c r="T2130" s="2"/>
      <c r="U2130" s="2"/>
      <c r="V2130" s="2"/>
    </row>
    <row r="2131" spans="1:22" s="6" customFormat="1" ht="33" x14ac:dyDescent="0.25">
      <c r="A2131" s="1065">
        <v>101</v>
      </c>
      <c r="B2131" s="1064" t="s">
        <v>452</v>
      </c>
      <c r="C2131" s="281" t="s">
        <v>500</v>
      </c>
      <c r="D2131" s="208">
        <v>5194193.72</v>
      </c>
      <c r="E2131" s="948" t="s">
        <v>836</v>
      </c>
      <c r="F2131" s="947" t="s">
        <v>837</v>
      </c>
      <c r="G2131" s="208">
        <v>5480800</v>
      </c>
      <c r="H2131" s="950">
        <v>42551</v>
      </c>
      <c r="I2131" s="950">
        <v>42551</v>
      </c>
      <c r="J2131" s="947">
        <v>5194193.7200000007</v>
      </c>
      <c r="K2131" s="947">
        <v>5194193.7200000007</v>
      </c>
      <c r="L2131" s="254"/>
      <c r="M2131" s="947">
        <f>J2131-D2131</f>
        <v>0</v>
      </c>
      <c r="N2131" s="916">
        <v>1</v>
      </c>
      <c r="O2131" s="829"/>
      <c r="P2131" s="176"/>
      <c r="Q2131" s="497"/>
      <c r="R2131" s="620"/>
      <c r="S2131" s="9"/>
      <c r="T2131" s="9"/>
      <c r="U2131" s="9"/>
      <c r="V2131" s="9"/>
    </row>
    <row r="2132" spans="1:22" s="8" customFormat="1" ht="49.5" x14ac:dyDescent="0.25">
      <c r="A2132" s="1065"/>
      <c r="B2132" s="1064"/>
      <c r="C2132" s="356" t="s">
        <v>37</v>
      </c>
      <c r="D2132" s="357">
        <v>102006.54</v>
      </c>
      <c r="E2132" s="690" t="s">
        <v>617</v>
      </c>
      <c r="F2132" s="361" t="s">
        <v>614</v>
      </c>
      <c r="G2132" s="357">
        <v>102006.54</v>
      </c>
      <c r="H2132" s="360">
        <v>42451</v>
      </c>
      <c r="I2132" s="360">
        <v>42495</v>
      </c>
      <c r="J2132" s="361">
        <v>102006.54</v>
      </c>
      <c r="K2132" s="361">
        <v>102006.54</v>
      </c>
      <c r="L2132" s="360"/>
      <c r="M2132" s="361"/>
      <c r="N2132" s="539"/>
      <c r="O2132" s="466" t="s">
        <v>734</v>
      </c>
      <c r="P2132" s="176"/>
      <c r="Q2132" s="497"/>
      <c r="R2132" s="496"/>
      <c r="S2132" s="2"/>
      <c r="T2132" s="2"/>
      <c r="U2132" s="2"/>
      <c r="V2132" s="2"/>
    </row>
    <row r="2133" spans="1:22" s="8" customFormat="1" ht="17.25" thickBot="1" x14ac:dyDescent="0.3">
      <c r="A2133" s="1066" t="s">
        <v>628</v>
      </c>
      <c r="B2133" s="1066"/>
      <c r="C2133" s="342"/>
      <c r="D2133" s="945">
        <f>SUM(D2131:D2132)</f>
        <v>5296200.26</v>
      </c>
      <c r="E2133" s="942"/>
      <c r="F2133" s="943"/>
      <c r="G2133" s="945">
        <f>SUM(G2131:G2132)</f>
        <v>5582806.54</v>
      </c>
      <c r="H2133" s="941"/>
      <c r="I2133" s="172"/>
      <c r="J2133" s="952">
        <f t="shared" ref="J2133" si="149">SUM(J2131:J2132)</f>
        <v>5296200.2600000007</v>
      </c>
      <c r="K2133" s="945">
        <f>SUM(K2131:K2132)</f>
        <v>5296200.2600000007</v>
      </c>
      <c r="L2133" s="340"/>
      <c r="M2133" s="945"/>
      <c r="N2133" s="878">
        <f>AVERAGE(N2131:N2132)</f>
        <v>1</v>
      </c>
      <c r="O2133" s="694"/>
      <c r="P2133" s="176"/>
      <c r="Q2133" s="497"/>
      <c r="R2133" s="496"/>
      <c r="S2133" s="2"/>
      <c r="T2133" s="2"/>
      <c r="U2133" s="2"/>
      <c r="V2133" s="2"/>
    </row>
    <row r="2134" spans="1:22" s="6" customFormat="1" ht="37.5" customHeight="1" x14ac:dyDescent="0.25">
      <c r="A2134" s="1065">
        <v>102</v>
      </c>
      <c r="B2134" s="1064" t="s">
        <v>453</v>
      </c>
      <c r="C2134" s="281" t="s">
        <v>500</v>
      </c>
      <c r="D2134" s="208">
        <v>7391904.6799999997</v>
      </c>
      <c r="E2134" s="948" t="s">
        <v>881</v>
      </c>
      <c r="F2134" s="947" t="s">
        <v>882</v>
      </c>
      <c r="G2134" s="208">
        <v>7370363.5881696008</v>
      </c>
      <c r="H2134" s="950">
        <v>42576</v>
      </c>
      <c r="I2134" s="950">
        <v>42580</v>
      </c>
      <c r="J2134" s="947">
        <v>7391904.6799999997</v>
      </c>
      <c r="K2134" s="947">
        <v>7391904.6799999997</v>
      </c>
      <c r="L2134" s="254"/>
      <c r="M2134" s="255"/>
      <c r="N2134" s="909">
        <v>1</v>
      </c>
      <c r="O2134" s="699"/>
      <c r="P2134" s="176"/>
      <c r="Q2134" s="497"/>
      <c r="R2134" s="620"/>
      <c r="S2134" s="9"/>
      <c r="T2134" s="9"/>
      <c r="U2134" s="9"/>
      <c r="V2134" s="9"/>
    </row>
    <row r="2135" spans="1:22" s="8" customFormat="1" ht="49.5" x14ac:dyDescent="0.25">
      <c r="A2135" s="1065"/>
      <c r="B2135" s="1064"/>
      <c r="C2135" s="356" t="s">
        <v>37</v>
      </c>
      <c r="D2135" s="357">
        <v>103124</v>
      </c>
      <c r="E2135" s="690" t="s">
        <v>617</v>
      </c>
      <c r="F2135" s="361" t="s">
        <v>614</v>
      </c>
      <c r="G2135" s="357">
        <f>87393.22*1.18</f>
        <v>103123.9996</v>
      </c>
      <c r="H2135" s="360">
        <v>42451</v>
      </c>
      <c r="I2135" s="360">
        <v>42495</v>
      </c>
      <c r="J2135" s="361">
        <v>103124</v>
      </c>
      <c r="K2135" s="361">
        <v>103124</v>
      </c>
      <c r="L2135" s="360"/>
      <c r="M2135" s="361"/>
      <c r="N2135" s="539"/>
      <c r="O2135" s="466" t="s">
        <v>734</v>
      </c>
      <c r="P2135" s="176"/>
      <c r="Q2135" s="497"/>
      <c r="R2135" s="496"/>
      <c r="S2135" s="2"/>
      <c r="T2135" s="2"/>
      <c r="U2135" s="2"/>
      <c r="V2135" s="2"/>
    </row>
    <row r="2136" spans="1:22" s="8" customFormat="1" ht="17.25" thickBot="1" x14ac:dyDescent="0.3">
      <c r="A2136" s="1066" t="s">
        <v>628</v>
      </c>
      <c r="B2136" s="1066"/>
      <c r="C2136" s="342"/>
      <c r="D2136" s="945">
        <f>SUM(D2134:D2135)</f>
        <v>7495028.6799999997</v>
      </c>
      <c r="E2136" s="942"/>
      <c r="F2136" s="943"/>
      <c r="G2136" s="945">
        <f>SUM(G2134:G2135)</f>
        <v>7473487.5877696006</v>
      </c>
      <c r="H2136" s="941"/>
      <c r="I2136" s="172"/>
      <c r="J2136" s="952">
        <f>SUM(J2134:J2135)</f>
        <v>7495028.6799999997</v>
      </c>
      <c r="K2136" s="945">
        <f>SUM(K2134:K2135)</f>
        <v>7495028.6799999997</v>
      </c>
      <c r="L2136" s="340"/>
      <c r="M2136" s="945"/>
      <c r="N2136" s="878">
        <f>AVERAGE(N2134:N2135)</f>
        <v>1</v>
      </c>
      <c r="O2136" s="694"/>
      <c r="P2136" s="176"/>
      <c r="Q2136" s="497"/>
      <c r="R2136" s="496"/>
      <c r="S2136" s="2"/>
      <c r="T2136" s="2"/>
      <c r="U2136" s="2"/>
      <c r="V2136" s="2"/>
    </row>
    <row r="2137" spans="1:22" s="6" customFormat="1" ht="31.5" customHeight="1" x14ac:dyDescent="0.25">
      <c r="A2137" s="1065">
        <v>103</v>
      </c>
      <c r="B2137" s="1064" t="s">
        <v>454</v>
      </c>
      <c r="C2137" s="281" t="s">
        <v>500</v>
      </c>
      <c r="D2137" s="208">
        <v>9607797.3499999996</v>
      </c>
      <c r="E2137" s="948" t="s">
        <v>881</v>
      </c>
      <c r="F2137" s="947" t="s">
        <v>882</v>
      </c>
      <c r="G2137" s="208">
        <v>10199636.411830395</v>
      </c>
      <c r="H2137" s="950">
        <v>42576</v>
      </c>
      <c r="I2137" s="950">
        <v>42576</v>
      </c>
      <c r="J2137" s="947">
        <v>9607797.3499999996</v>
      </c>
      <c r="K2137" s="947">
        <v>9607797.3499999996</v>
      </c>
      <c r="L2137" s="254"/>
      <c r="M2137" s="255"/>
      <c r="N2137" s="909">
        <v>1</v>
      </c>
      <c r="O2137" s="699"/>
      <c r="P2137" s="176"/>
      <c r="Q2137" s="497"/>
      <c r="R2137" s="620"/>
      <c r="S2137" s="9"/>
      <c r="T2137" s="9"/>
      <c r="U2137" s="9"/>
      <c r="V2137" s="9"/>
    </row>
    <row r="2138" spans="1:22" s="8" customFormat="1" ht="49.5" x14ac:dyDescent="0.25">
      <c r="A2138" s="1065"/>
      <c r="B2138" s="1064"/>
      <c r="C2138" s="356" t="s">
        <v>37</v>
      </c>
      <c r="D2138" s="357">
        <v>98348.74</v>
      </c>
      <c r="E2138" s="690" t="s">
        <v>617</v>
      </c>
      <c r="F2138" s="361" t="s">
        <v>614</v>
      </c>
      <c r="G2138" s="357">
        <f>83346.39*1.18</f>
        <v>98348.7402</v>
      </c>
      <c r="H2138" s="360">
        <v>42451</v>
      </c>
      <c r="I2138" s="360">
        <v>42495</v>
      </c>
      <c r="J2138" s="361">
        <v>98348.74</v>
      </c>
      <c r="K2138" s="361">
        <v>98348.74</v>
      </c>
      <c r="L2138" s="360"/>
      <c r="M2138" s="361"/>
      <c r="N2138" s="539"/>
      <c r="O2138" s="466" t="s">
        <v>734</v>
      </c>
      <c r="P2138" s="176"/>
      <c r="Q2138" s="497"/>
      <c r="R2138" s="496"/>
      <c r="S2138" s="2"/>
      <c r="T2138" s="2"/>
      <c r="U2138" s="2"/>
      <c r="V2138" s="2"/>
    </row>
    <row r="2139" spans="1:22" s="8" customFormat="1" ht="17.25" thickBot="1" x14ac:dyDescent="0.3">
      <c r="A2139" s="1066" t="s">
        <v>628</v>
      </c>
      <c r="B2139" s="1066"/>
      <c r="C2139" s="342"/>
      <c r="D2139" s="945">
        <f>SUM(D2137:D2138)</f>
        <v>9706146.0899999999</v>
      </c>
      <c r="E2139" s="942"/>
      <c r="F2139" s="943"/>
      <c r="G2139" s="945">
        <f>SUM(G2137:G2138)</f>
        <v>10297985.152030395</v>
      </c>
      <c r="H2139" s="941"/>
      <c r="I2139" s="172"/>
      <c r="J2139" s="952">
        <f>SUM(J2137:J2138)</f>
        <v>9706146.0899999999</v>
      </c>
      <c r="K2139" s="945">
        <f>SUM(K2137:K2138)</f>
        <v>9706146.0899999999</v>
      </c>
      <c r="L2139" s="340"/>
      <c r="M2139" s="945"/>
      <c r="N2139" s="878">
        <f>AVERAGE(N2137:N2138)</f>
        <v>1</v>
      </c>
      <c r="O2139" s="694"/>
      <c r="P2139" s="176"/>
      <c r="Q2139" s="497"/>
      <c r="R2139" s="496"/>
      <c r="S2139" s="2"/>
      <c r="T2139" s="2"/>
      <c r="U2139" s="2"/>
      <c r="V2139" s="2"/>
    </row>
    <row r="2140" spans="1:22" s="6" customFormat="1" ht="34.5" customHeight="1" x14ac:dyDescent="0.25">
      <c r="A2140" s="1065">
        <v>104</v>
      </c>
      <c r="B2140" s="1076" t="s">
        <v>455</v>
      </c>
      <c r="C2140" s="281" t="s">
        <v>500</v>
      </c>
      <c r="D2140" s="208">
        <v>7117835.5199999996</v>
      </c>
      <c r="E2140" s="948" t="s">
        <v>740</v>
      </c>
      <c r="F2140" s="947" t="s">
        <v>741</v>
      </c>
      <c r="G2140" s="208">
        <v>7850000</v>
      </c>
      <c r="H2140" s="950">
        <v>42479</v>
      </c>
      <c r="I2140" s="950">
        <v>42479</v>
      </c>
      <c r="J2140" s="947">
        <v>7117835.5199999996</v>
      </c>
      <c r="K2140" s="947">
        <v>7117835.5199999996</v>
      </c>
      <c r="L2140" s="950"/>
      <c r="M2140" s="947">
        <v>426688.15000000037</v>
      </c>
      <c r="N2140" s="909">
        <v>1</v>
      </c>
      <c r="O2140" s="718"/>
      <c r="P2140" s="176"/>
      <c r="Q2140" s="497"/>
      <c r="R2140" s="620"/>
      <c r="S2140" s="9"/>
      <c r="T2140" s="9"/>
      <c r="U2140" s="9"/>
      <c r="V2140" s="9"/>
    </row>
    <row r="2141" spans="1:22" s="8" customFormat="1" ht="49.5" x14ac:dyDescent="0.25">
      <c r="A2141" s="1065"/>
      <c r="B2141" s="1076"/>
      <c r="C2141" s="356" t="s">
        <v>37</v>
      </c>
      <c r="D2141" s="357">
        <v>93802.32</v>
      </c>
      <c r="E2141" s="690" t="s">
        <v>622</v>
      </c>
      <c r="F2141" s="361" t="s">
        <v>614</v>
      </c>
      <c r="G2141" s="357">
        <v>93802.32</v>
      </c>
      <c r="H2141" s="360">
        <v>42384</v>
      </c>
      <c r="I2141" s="360">
        <v>42394</v>
      </c>
      <c r="J2141" s="361">
        <v>79493.52</v>
      </c>
      <c r="K2141" s="361">
        <v>79493.52</v>
      </c>
      <c r="L2141" s="360">
        <v>42724</v>
      </c>
      <c r="M2141" s="361"/>
      <c r="N2141" s="539"/>
      <c r="O2141" s="466" t="s">
        <v>734</v>
      </c>
      <c r="P2141" s="176"/>
      <c r="Q2141" s="497"/>
      <c r="R2141" s="496"/>
      <c r="S2141" s="2"/>
      <c r="T2141" s="2"/>
      <c r="U2141" s="2"/>
      <c r="V2141" s="2"/>
    </row>
    <row r="2142" spans="1:22" s="8" customFormat="1" ht="17.25" thickBot="1" x14ac:dyDescent="0.3">
      <c r="A2142" s="1066" t="s">
        <v>628</v>
      </c>
      <c r="B2142" s="1066"/>
      <c r="C2142" s="342"/>
      <c r="D2142" s="945">
        <f>SUM(D2140:D2141)</f>
        <v>7211637.8399999999</v>
      </c>
      <c r="E2142" s="942"/>
      <c r="F2142" s="943"/>
      <c r="G2142" s="945">
        <f>SUM(G2140:G2141)</f>
        <v>7943802.3200000003</v>
      </c>
      <c r="H2142" s="941"/>
      <c r="I2142" s="172"/>
      <c r="J2142" s="952">
        <f>SUM(J2140:J2141)</f>
        <v>7197329.0399999991</v>
      </c>
      <c r="K2142" s="945">
        <f>SUM(K2140:K2141)</f>
        <v>7197329.0399999991</v>
      </c>
      <c r="L2142" s="340"/>
      <c r="M2142" s="945"/>
      <c r="N2142" s="878">
        <f>AVERAGE(N2140:N2141)</f>
        <v>1</v>
      </c>
      <c r="O2142" s="694"/>
      <c r="P2142" s="176"/>
      <c r="Q2142" s="497"/>
      <c r="R2142" s="496"/>
      <c r="S2142" s="2"/>
      <c r="T2142" s="2"/>
      <c r="U2142" s="2"/>
      <c r="V2142" s="2"/>
    </row>
    <row r="2143" spans="1:22" s="6" customFormat="1" ht="15" customHeight="1" x14ac:dyDescent="0.25">
      <c r="A2143" s="1065">
        <v>105</v>
      </c>
      <c r="B2143" s="1064" t="s">
        <v>456</v>
      </c>
      <c r="C2143" s="281" t="s">
        <v>500</v>
      </c>
      <c r="D2143" s="208">
        <v>1553886.98</v>
      </c>
      <c r="E2143" s="948" t="s">
        <v>1017</v>
      </c>
      <c r="F2143" s="947" t="s">
        <v>794</v>
      </c>
      <c r="G2143" s="208">
        <v>1898714.4</v>
      </c>
      <c r="H2143" s="950">
        <v>42617</v>
      </c>
      <c r="I2143" s="950">
        <v>42618</v>
      </c>
      <c r="J2143" s="947">
        <v>1553886.98</v>
      </c>
      <c r="K2143" s="947">
        <v>1553886.98</v>
      </c>
      <c r="L2143" s="254"/>
      <c r="M2143" s="255"/>
      <c r="N2143" s="909">
        <v>1</v>
      </c>
      <c r="O2143" s="699"/>
      <c r="P2143" s="176"/>
      <c r="Q2143" s="497"/>
      <c r="R2143" s="620"/>
      <c r="S2143" s="9"/>
      <c r="T2143" s="9"/>
      <c r="U2143" s="9"/>
      <c r="V2143" s="9"/>
    </row>
    <row r="2144" spans="1:22" s="8" customFormat="1" ht="49.5" x14ac:dyDescent="0.25">
      <c r="A2144" s="1065"/>
      <c r="B2144" s="1064"/>
      <c r="C2144" s="356" t="s">
        <v>37</v>
      </c>
      <c r="D2144" s="357">
        <v>113738.65</v>
      </c>
      <c r="E2144" s="690" t="s">
        <v>617</v>
      </c>
      <c r="F2144" s="361" t="s">
        <v>614</v>
      </c>
      <c r="G2144" s="357">
        <f>96338.69*1.18</f>
        <v>113679.65419999999</v>
      </c>
      <c r="H2144" s="360">
        <v>42451</v>
      </c>
      <c r="I2144" s="360">
        <v>42495</v>
      </c>
      <c r="J2144" s="361">
        <v>113738.65</v>
      </c>
      <c r="K2144" s="361">
        <v>113738.65</v>
      </c>
      <c r="L2144" s="360"/>
      <c r="M2144" s="361"/>
      <c r="N2144" s="539"/>
      <c r="O2144" s="466" t="s">
        <v>734</v>
      </c>
      <c r="P2144" s="176"/>
      <c r="Q2144" s="497"/>
      <c r="R2144" s="496"/>
      <c r="S2144" s="2"/>
      <c r="T2144" s="2"/>
      <c r="U2144" s="2"/>
      <c r="V2144" s="2"/>
    </row>
    <row r="2145" spans="1:22" s="8" customFormat="1" ht="17.25" thickBot="1" x14ac:dyDescent="0.3">
      <c r="A2145" s="1066" t="s">
        <v>628</v>
      </c>
      <c r="B2145" s="1066"/>
      <c r="C2145" s="342"/>
      <c r="D2145" s="945">
        <f>SUM(D2143:D2144)</f>
        <v>1667625.63</v>
      </c>
      <c r="E2145" s="942"/>
      <c r="F2145" s="943"/>
      <c r="G2145" s="945">
        <f>SUM(G2143:G2144)</f>
        <v>2012394.0541999999</v>
      </c>
      <c r="H2145" s="941"/>
      <c r="I2145" s="172"/>
      <c r="J2145" s="952">
        <f>SUM(J2143:J2144)</f>
        <v>1667625.63</v>
      </c>
      <c r="K2145" s="945">
        <f>SUM(K2143:K2144)</f>
        <v>1667625.63</v>
      </c>
      <c r="L2145" s="340"/>
      <c r="M2145" s="945"/>
      <c r="N2145" s="878">
        <f>AVERAGE(N2143:N2144)</f>
        <v>1</v>
      </c>
      <c r="O2145" s="707"/>
      <c r="P2145" s="176"/>
      <c r="Q2145" s="497"/>
      <c r="R2145" s="496"/>
      <c r="S2145" s="2"/>
      <c r="T2145" s="2"/>
      <c r="U2145" s="2"/>
      <c r="V2145" s="2"/>
    </row>
    <row r="2146" spans="1:22" s="6" customFormat="1" ht="31.5" customHeight="1" x14ac:dyDescent="0.25">
      <c r="A2146" s="1065">
        <v>106</v>
      </c>
      <c r="B2146" s="1064" t="s">
        <v>457</v>
      </c>
      <c r="C2146" s="281" t="s">
        <v>500</v>
      </c>
      <c r="D2146" s="208">
        <v>9923016.4600000009</v>
      </c>
      <c r="E2146" s="948" t="s">
        <v>883</v>
      </c>
      <c r="F2146" s="947" t="s">
        <v>882</v>
      </c>
      <c r="G2146" s="208">
        <v>12500000</v>
      </c>
      <c r="H2146" s="950">
        <v>42582</v>
      </c>
      <c r="I2146" s="950">
        <v>42580</v>
      </c>
      <c r="J2146" s="947">
        <v>9923016.459999999</v>
      </c>
      <c r="K2146" s="947">
        <v>9923016.4600000009</v>
      </c>
      <c r="L2146" s="254"/>
      <c r="M2146" s="255"/>
      <c r="N2146" s="909">
        <v>1</v>
      </c>
      <c r="O2146" s="699"/>
      <c r="P2146" s="176"/>
      <c r="Q2146" s="497"/>
      <c r="R2146" s="620"/>
      <c r="S2146" s="9"/>
      <c r="T2146" s="9"/>
      <c r="U2146" s="9"/>
      <c r="V2146" s="9"/>
    </row>
    <row r="2147" spans="1:22" s="76" customFormat="1" ht="31.5" customHeight="1" x14ac:dyDescent="0.25">
      <c r="A2147" s="1065"/>
      <c r="B2147" s="1064"/>
      <c r="C2147" s="281" t="s">
        <v>1063</v>
      </c>
      <c r="D2147" s="208">
        <v>9477794.2200000007</v>
      </c>
      <c r="E2147" s="948" t="s">
        <v>1062</v>
      </c>
      <c r="F2147" s="947" t="s">
        <v>816</v>
      </c>
      <c r="G2147" s="208">
        <v>9477794.2200000007</v>
      </c>
      <c r="H2147" s="950">
        <v>42674</v>
      </c>
      <c r="I2147" s="950">
        <v>42713</v>
      </c>
      <c r="J2147" s="947">
        <v>9783854.3599999994</v>
      </c>
      <c r="K2147" s="947">
        <v>9783854.3599999994</v>
      </c>
      <c r="L2147" s="950" t="s">
        <v>1477</v>
      </c>
      <c r="M2147" s="255"/>
      <c r="N2147" s="916">
        <v>1</v>
      </c>
      <c r="O2147" s="809"/>
      <c r="P2147" s="457"/>
      <c r="Q2147" s="622"/>
      <c r="R2147" s="623"/>
      <c r="S2147" s="72"/>
      <c r="T2147" s="72"/>
      <c r="U2147" s="72"/>
      <c r="V2147" s="72"/>
    </row>
    <row r="2148" spans="1:22" s="8" customFormat="1" ht="49.5" x14ac:dyDescent="0.25">
      <c r="A2148" s="1065"/>
      <c r="B2148" s="1064"/>
      <c r="C2148" s="356" t="s">
        <v>37</v>
      </c>
      <c r="D2148" s="357">
        <v>135438.59</v>
      </c>
      <c r="E2148" s="690" t="s">
        <v>617</v>
      </c>
      <c r="F2148" s="361" t="s">
        <v>614</v>
      </c>
      <c r="G2148" s="357">
        <f>114778.47*1.18</f>
        <v>135438.59459999998</v>
      </c>
      <c r="H2148" s="360">
        <v>42451</v>
      </c>
      <c r="I2148" s="360">
        <v>42495</v>
      </c>
      <c r="J2148" s="361">
        <v>135438.6</v>
      </c>
      <c r="K2148" s="361">
        <v>135438.6</v>
      </c>
      <c r="L2148" s="360"/>
      <c r="M2148" s="361"/>
      <c r="N2148" s="539"/>
      <c r="O2148" s="466" t="s">
        <v>734</v>
      </c>
      <c r="P2148" s="176"/>
      <c r="Q2148" s="497"/>
      <c r="R2148" s="496"/>
      <c r="S2148" s="2"/>
      <c r="T2148" s="2"/>
      <c r="U2148" s="2"/>
      <c r="V2148" s="2"/>
    </row>
    <row r="2149" spans="1:22" s="8" customFormat="1" ht="17.25" thickBot="1" x14ac:dyDescent="0.3">
      <c r="A2149" s="1066" t="s">
        <v>628</v>
      </c>
      <c r="B2149" s="1066"/>
      <c r="C2149" s="342"/>
      <c r="D2149" s="945">
        <f>SUM(D2146:D2148)</f>
        <v>19536249.27</v>
      </c>
      <c r="E2149" s="942"/>
      <c r="F2149" s="943"/>
      <c r="G2149" s="945">
        <f>SUM(G2146:G2148)</f>
        <v>22113232.814599998</v>
      </c>
      <c r="H2149" s="941"/>
      <c r="I2149" s="172"/>
      <c r="J2149" s="952">
        <f>SUM(J2146:J2148)</f>
        <v>19842309.420000002</v>
      </c>
      <c r="K2149" s="945">
        <f>SUM(K2146:K2148)</f>
        <v>19842309.420000002</v>
      </c>
      <c r="L2149" s="340"/>
      <c r="M2149" s="945"/>
      <c r="N2149" s="878">
        <f>AVERAGE(N2146:N2148)</f>
        <v>1</v>
      </c>
      <c r="O2149" s="694"/>
      <c r="P2149" s="176"/>
      <c r="Q2149" s="497"/>
      <c r="R2149" s="496"/>
      <c r="S2149" s="2"/>
      <c r="T2149" s="2"/>
      <c r="U2149" s="2"/>
      <c r="V2149" s="2"/>
    </row>
    <row r="2150" spans="1:22" s="6" customFormat="1" ht="33" x14ac:dyDescent="0.25">
      <c r="A2150" s="1065">
        <v>107</v>
      </c>
      <c r="B2150" s="1064" t="s">
        <v>458</v>
      </c>
      <c r="C2150" s="281" t="s">
        <v>500</v>
      </c>
      <c r="D2150" s="208">
        <v>2839522.5</v>
      </c>
      <c r="E2150" s="948" t="s">
        <v>919</v>
      </c>
      <c r="F2150" s="947" t="s">
        <v>816</v>
      </c>
      <c r="G2150" s="208">
        <v>2843753.59</v>
      </c>
      <c r="H2150" s="950">
        <v>42602</v>
      </c>
      <c r="I2150" s="950">
        <v>42636</v>
      </c>
      <c r="J2150" s="947">
        <v>2839522.5</v>
      </c>
      <c r="K2150" s="947">
        <v>2839522.5</v>
      </c>
      <c r="L2150" s="950"/>
      <c r="M2150" s="947"/>
      <c r="N2150" s="909">
        <v>1</v>
      </c>
      <c r="O2150" s="699"/>
      <c r="P2150" s="176"/>
      <c r="Q2150" s="201" t="s">
        <v>1116</v>
      </c>
      <c r="R2150" s="620"/>
      <c r="S2150" s="9"/>
      <c r="T2150" s="9"/>
      <c r="U2150" s="9"/>
      <c r="V2150" s="9"/>
    </row>
    <row r="2151" spans="1:22" s="8" customFormat="1" ht="49.5" x14ac:dyDescent="0.25">
      <c r="A2151" s="1065"/>
      <c r="B2151" s="1064"/>
      <c r="C2151" s="356" t="s">
        <v>37</v>
      </c>
      <c r="D2151" s="357">
        <v>71669.11</v>
      </c>
      <c r="E2151" s="690" t="s">
        <v>617</v>
      </c>
      <c r="F2151" s="361" t="s">
        <v>614</v>
      </c>
      <c r="G2151" s="357">
        <f>60736.53*1.18</f>
        <v>71669.1054</v>
      </c>
      <c r="H2151" s="360">
        <v>42451</v>
      </c>
      <c r="I2151" s="360">
        <v>42495</v>
      </c>
      <c r="J2151" s="361">
        <v>71669.11</v>
      </c>
      <c r="K2151" s="361">
        <v>71669.11</v>
      </c>
      <c r="L2151" s="360"/>
      <c r="M2151" s="361"/>
      <c r="N2151" s="539"/>
      <c r="O2151" s="466" t="s">
        <v>734</v>
      </c>
      <c r="P2151" s="176"/>
      <c r="Q2151" s="497"/>
      <c r="R2151" s="496"/>
      <c r="S2151" s="2"/>
      <c r="T2151" s="2"/>
      <c r="U2151" s="2"/>
      <c r="V2151" s="2"/>
    </row>
    <row r="2152" spans="1:22" s="8" customFormat="1" ht="17.25" thickBot="1" x14ac:dyDescent="0.3">
      <c r="A2152" s="1066" t="s">
        <v>628</v>
      </c>
      <c r="B2152" s="1066"/>
      <c r="C2152" s="342"/>
      <c r="D2152" s="945">
        <f>SUM(D2150:D2151)</f>
        <v>2911191.61</v>
      </c>
      <c r="E2152" s="942"/>
      <c r="F2152" s="943"/>
      <c r="G2152" s="945">
        <f>SUM(G2150:G2151)</f>
        <v>2915422.6953999996</v>
      </c>
      <c r="H2152" s="941"/>
      <c r="I2152" s="172"/>
      <c r="J2152" s="952">
        <f>SUM(J2150:J2151)</f>
        <v>2911191.61</v>
      </c>
      <c r="K2152" s="945">
        <f>SUM(K2150:K2151)</f>
        <v>2911191.61</v>
      </c>
      <c r="L2152" s="340"/>
      <c r="M2152" s="945"/>
      <c r="N2152" s="878">
        <f>AVERAGE(N2150:N2151)</f>
        <v>1</v>
      </c>
      <c r="O2152" s="694"/>
      <c r="P2152" s="176"/>
      <c r="Q2152" s="497"/>
      <c r="R2152" s="496"/>
      <c r="S2152" s="2"/>
      <c r="T2152" s="2"/>
      <c r="U2152" s="2"/>
      <c r="V2152" s="2"/>
    </row>
    <row r="2153" spans="1:22" s="8" customFormat="1" ht="31.5" customHeight="1" x14ac:dyDescent="0.25">
      <c r="A2153" s="940">
        <v>108</v>
      </c>
      <c r="B2153" s="940" t="s">
        <v>459</v>
      </c>
      <c r="C2153" s="356" t="s">
        <v>37</v>
      </c>
      <c r="D2153" s="357">
        <v>136583.29999999999</v>
      </c>
      <c r="E2153" s="690" t="s">
        <v>622</v>
      </c>
      <c r="F2153" s="361" t="s">
        <v>614</v>
      </c>
      <c r="G2153" s="958"/>
      <c r="H2153" s="360"/>
      <c r="I2153" s="360">
        <v>42528</v>
      </c>
      <c r="J2153" s="357">
        <v>115748.6</v>
      </c>
      <c r="K2153" s="357">
        <v>115748.6</v>
      </c>
      <c r="L2153" s="959">
        <v>42724</v>
      </c>
      <c r="M2153" s="958"/>
      <c r="N2153" s="929"/>
      <c r="O2153" s="930"/>
      <c r="P2153" s="176"/>
      <c r="Q2153" s="497"/>
      <c r="R2153" s="496"/>
      <c r="S2153" s="2"/>
      <c r="T2153" s="2"/>
      <c r="U2153" s="2"/>
      <c r="V2153" s="2"/>
    </row>
    <row r="2154" spans="1:22" s="8" customFormat="1" ht="17.25" thickBot="1" x14ac:dyDescent="0.3">
      <c r="A2154" s="1066" t="s">
        <v>628</v>
      </c>
      <c r="B2154" s="1066"/>
      <c r="C2154" s="342"/>
      <c r="D2154" s="945">
        <f>SUM(D2153:D2153)</f>
        <v>136583.29999999999</v>
      </c>
      <c r="E2154" s="942"/>
      <c r="F2154" s="943"/>
      <c r="G2154" s="945">
        <f>SUM(G2153:G2153)</f>
        <v>0</v>
      </c>
      <c r="H2154" s="941"/>
      <c r="I2154" s="172"/>
      <c r="J2154" s="952">
        <f>SUM(J2153:J2153)</f>
        <v>115748.6</v>
      </c>
      <c r="K2154" s="945">
        <f>SUM(K2153:K2153)</f>
        <v>115748.6</v>
      </c>
      <c r="L2154" s="340"/>
      <c r="M2154" s="945"/>
      <c r="N2154" s="878" t="e">
        <f>AVERAGE(N2153:N2153)</f>
        <v>#DIV/0!</v>
      </c>
      <c r="O2154" s="694"/>
      <c r="P2154" s="176"/>
      <c r="Q2154" s="497"/>
      <c r="R2154" s="496"/>
      <c r="S2154" s="2"/>
      <c r="T2154" s="2"/>
      <c r="U2154" s="2"/>
      <c r="V2154" s="2"/>
    </row>
    <row r="2155" spans="1:22" s="6" customFormat="1" ht="33" x14ac:dyDescent="0.25">
      <c r="A2155" s="1065">
        <v>109</v>
      </c>
      <c r="B2155" s="1064" t="s">
        <v>460</v>
      </c>
      <c r="C2155" s="281" t="s">
        <v>500</v>
      </c>
      <c r="D2155" s="208">
        <v>9897038.7799999993</v>
      </c>
      <c r="E2155" s="948" t="s">
        <v>845</v>
      </c>
      <c r="F2155" s="947" t="s">
        <v>816</v>
      </c>
      <c r="G2155" s="208">
        <v>9940088.7200000007</v>
      </c>
      <c r="H2155" s="950">
        <v>42581</v>
      </c>
      <c r="I2155" s="950">
        <v>42605</v>
      </c>
      <c r="J2155" s="947">
        <v>9897038.7799999993</v>
      </c>
      <c r="K2155" s="947">
        <v>9897038.7799999993</v>
      </c>
      <c r="L2155" s="254"/>
      <c r="M2155" s="255"/>
      <c r="N2155" s="909">
        <v>1</v>
      </c>
      <c r="O2155" s="699"/>
      <c r="P2155" s="176"/>
      <c r="Q2155" s="497"/>
      <c r="R2155" s="620"/>
      <c r="S2155" s="9"/>
      <c r="T2155" s="9"/>
      <c r="U2155" s="9"/>
      <c r="V2155" s="9"/>
    </row>
    <row r="2156" spans="1:22" s="8" customFormat="1" ht="49.5" x14ac:dyDescent="0.25">
      <c r="A2156" s="1065"/>
      <c r="B2156" s="1064"/>
      <c r="C2156" s="356" t="s">
        <v>37</v>
      </c>
      <c r="D2156" s="357">
        <v>96260.4</v>
      </c>
      <c r="E2156" s="690" t="s">
        <v>617</v>
      </c>
      <c r="F2156" s="361" t="s">
        <v>614</v>
      </c>
      <c r="G2156" s="357">
        <f>81576.61*1.18</f>
        <v>96260.399799999999</v>
      </c>
      <c r="H2156" s="360">
        <v>42451</v>
      </c>
      <c r="I2156" s="360">
        <v>42495</v>
      </c>
      <c r="J2156" s="361">
        <v>96260.4</v>
      </c>
      <c r="K2156" s="361">
        <v>96260.4</v>
      </c>
      <c r="L2156" s="360"/>
      <c r="M2156" s="361"/>
      <c r="N2156" s="539"/>
      <c r="O2156" s="466" t="s">
        <v>734</v>
      </c>
      <c r="P2156" s="176"/>
      <c r="Q2156" s="497"/>
      <c r="R2156" s="496"/>
      <c r="S2156" s="2"/>
      <c r="T2156" s="2"/>
      <c r="U2156" s="2"/>
      <c r="V2156" s="2"/>
    </row>
    <row r="2157" spans="1:22" s="8" customFormat="1" ht="17.25" thickBot="1" x14ac:dyDescent="0.3">
      <c r="A2157" s="1066" t="s">
        <v>628</v>
      </c>
      <c r="B2157" s="1066"/>
      <c r="C2157" s="342"/>
      <c r="D2157" s="945">
        <f>SUM(D2155:D2156)</f>
        <v>9993299.1799999997</v>
      </c>
      <c r="E2157" s="942"/>
      <c r="F2157" s="943"/>
      <c r="G2157" s="945">
        <f>SUM(G2155:G2156)</f>
        <v>10036349.119800001</v>
      </c>
      <c r="H2157" s="941"/>
      <c r="I2157" s="172"/>
      <c r="J2157" s="952">
        <f>SUM(J2155:J2156)</f>
        <v>9993299.1799999997</v>
      </c>
      <c r="K2157" s="945">
        <f>SUM(K2155:K2156)</f>
        <v>9993299.1799999997</v>
      </c>
      <c r="L2157" s="340"/>
      <c r="M2157" s="945"/>
      <c r="N2157" s="878">
        <f>AVERAGE(N2155:N2156)</f>
        <v>1</v>
      </c>
      <c r="O2157" s="694"/>
      <c r="P2157" s="176"/>
      <c r="Q2157" s="497"/>
      <c r="R2157" s="496"/>
      <c r="S2157" s="2"/>
      <c r="T2157" s="2"/>
      <c r="U2157" s="2"/>
      <c r="V2157" s="2"/>
    </row>
    <row r="2158" spans="1:22" s="6" customFormat="1" ht="33" x14ac:dyDescent="0.25">
      <c r="A2158" s="1065">
        <v>110</v>
      </c>
      <c r="B2158" s="1064" t="s">
        <v>461</v>
      </c>
      <c r="C2158" s="281" t="s">
        <v>500</v>
      </c>
      <c r="D2158" s="208">
        <v>10037377.359999999</v>
      </c>
      <c r="E2158" s="948" t="s">
        <v>845</v>
      </c>
      <c r="F2158" s="947" t="s">
        <v>816</v>
      </c>
      <c r="G2158" s="208">
        <v>10041621.82</v>
      </c>
      <c r="H2158" s="950">
        <v>42581</v>
      </c>
      <c r="I2158" s="950">
        <v>42605</v>
      </c>
      <c r="J2158" s="947">
        <v>10037377.359999999</v>
      </c>
      <c r="K2158" s="947">
        <v>10037377.359999999</v>
      </c>
      <c r="L2158" s="254"/>
      <c r="M2158" s="255"/>
      <c r="N2158" s="909">
        <v>1</v>
      </c>
      <c r="O2158" s="699"/>
      <c r="P2158" s="176"/>
      <c r="Q2158" s="497"/>
      <c r="R2158" s="620"/>
      <c r="S2158" s="9"/>
      <c r="T2158" s="9"/>
      <c r="U2158" s="9"/>
      <c r="V2158" s="9"/>
    </row>
    <row r="2159" spans="1:22" s="8" customFormat="1" ht="49.5" x14ac:dyDescent="0.25">
      <c r="A2159" s="1065"/>
      <c r="B2159" s="1064"/>
      <c r="C2159" s="356" t="s">
        <v>37</v>
      </c>
      <c r="D2159" s="357">
        <v>95119.03</v>
      </c>
      <c r="E2159" s="690" t="s">
        <v>617</v>
      </c>
      <c r="F2159" s="361" t="s">
        <v>614</v>
      </c>
      <c r="G2159" s="357">
        <f>80609.35*1.18</f>
        <v>95119.032999999996</v>
      </c>
      <c r="H2159" s="360">
        <v>42451</v>
      </c>
      <c r="I2159" s="360">
        <v>42495</v>
      </c>
      <c r="J2159" s="361">
        <v>95119.03</v>
      </c>
      <c r="K2159" s="361">
        <v>95119.03</v>
      </c>
      <c r="L2159" s="360"/>
      <c r="M2159" s="361"/>
      <c r="N2159" s="539"/>
      <c r="O2159" s="466" t="s">
        <v>734</v>
      </c>
      <c r="P2159" s="176"/>
      <c r="Q2159" s="497"/>
      <c r="R2159" s="496"/>
      <c r="S2159" s="2"/>
      <c r="T2159" s="2"/>
      <c r="U2159" s="2"/>
      <c r="V2159" s="2"/>
    </row>
    <row r="2160" spans="1:22" s="8" customFormat="1" ht="17.25" thickBot="1" x14ac:dyDescent="0.3">
      <c r="A2160" s="1066" t="s">
        <v>628</v>
      </c>
      <c r="B2160" s="1066"/>
      <c r="C2160" s="342"/>
      <c r="D2160" s="945">
        <f>SUM(D2158:D2159)</f>
        <v>10132496.389999999</v>
      </c>
      <c r="E2160" s="942"/>
      <c r="F2160" s="943"/>
      <c r="G2160" s="945">
        <f>SUM(G2158:G2159)</f>
        <v>10136740.853</v>
      </c>
      <c r="H2160" s="941"/>
      <c r="I2160" s="172"/>
      <c r="J2160" s="952">
        <f>SUM(J2158:J2159)</f>
        <v>10132496.389999999</v>
      </c>
      <c r="K2160" s="945">
        <f>SUM(K2158:K2159)</f>
        <v>10132496.389999999</v>
      </c>
      <c r="L2160" s="340"/>
      <c r="M2160" s="945"/>
      <c r="N2160" s="878">
        <f>AVERAGE(N2158:N2159)</f>
        <v>1</v>
      </c>
      <c r="O2160" s="707"/>
      <c r="P2160" s="176"/>
      <c r="Q2160" s="497"/>
      <c r="R2160" s="496"/>
      <c r="S2160" s="2"/>
      <c r="T2160" s="2"/>
      <c r="U2160" s="2"/>
      <c r="V2160" s="2"/>
    </row>
    <row r="2161" spans="1:22" s="6" customFormat="1" ht="33" x14ac:dyDescent="0.25">
      <c r="A2161" s="1065">
        <v>111</v>
      </c>
      <c r="B2161" s="1076" t="s">
        <v>462</v>
      </c>
      <c r="C2161" s="281" t="s">
        <v>500</v>
      </c>
      <c r="D2161" s="208">
        <v>9324476.8200000003</v>
      </c>
      <c r="E2161" s="948" t="s">
        <v>843</v>
      </c>
      <c r="F2161" s="947" t="s">
        <v>816</v>
      </c>
      <c r="G2161" s="208">
        <v>9752498.2200000007</v>
      </c>
      <c r="H2161" s="950">
        <v>42581</v>
      </c>
      <c r="I2161" s="950">
        <v>42605</v>
      </c>
      <c r="J2161" s="947">
        <v>9324476.8200000003</v>
      </c>
      <c r="K2161" s="947">
        <v>9324476.8200000003</v>
      </c>
      <c r="L2161" s="254"/>
      <c r="M2161" s="255"/>
      <c r="N2161" s="909">
        <v>1</v>
      </c>
      <c r="O2161" s="699"/>
      <c r="P2161" s="176"/>
      <c r="Q2161" s="201" t="s">
        <v>1116</v>
      </c>
      <c r="R2161" s="620"/>
      <c r="S2161" s="9"/>
      <c r="T2161" s="9"/>
      <c r="U2161" s="9"/>
      <c r="V2161" s="9"/>
    </row>
    <row r="2162" spans="1:22" s="8" customFormat="1" ht="49.5" x14ac:dyDescent="0.25">
      <c r="A2162" s="1065"/>
      <c r="B2162" s="1076"/>
      <c r="C2162" s="356" t="s">
        <v>37</v>
      </c>
      <c r="D2162" s="357">
        <v>92819</v>
      </c>
      <c r="E2162" s="690" t="s">
        <v>622</v>
      </c>
      <c r="F2162" s="361" t="s">
        <v>614</v>
      </c>
      <c r="G2162" s="357">
        <v>92819</v>
      </c>
      <c r="H2162" s="360">
        <v>42384</v>
      </c>
      <c r="I2162" s="360">
        <v>42458</v>
      </c>
      <c r="J2162" s="361">
        <v>78660.2</v>
      </c>
      <c r="K2162" s="361">
        <v>78660.2</v>
      </c>
      <c r="L2162" s="360">
        <v>42724</v>
      </c>
      <c r="M2162" s="361"/>
      <c r="N2162" s="539"/>
      <c r="O2162" s="466" t="s">
        <v>734</v>
      </c>
      <c r="P2162" s="176"/>
      <c r="Q2162" s="497"/>
      <c r="R2162" s="496"/>
      <c r="S2162" s="2"/>
      <c r="T2162" s="2"/>
      <c r="U2162" s="2"/>
      <c r="V2162" s="2"/>
    </row>
    <row r="2163" spans="1:22" s="8" customFormat="1" ht="17.25" thickBot="1" x14ac:dyDescent="0.3">
      <c r="A2163" s="1066" t="s">
        <v>628</v>
      </c>
      <c r="B2163" s="1066"/>
      <c r="C2163" s="342"/>
      <c r="D2163" s="945">
        <f>SUM(D2161:D2162)</f>
        <v>9417295.8200000003</v>
      </c>
      <c r="E2163" s="942"/>
      <c r="F2163" s="943"/>
      <c r="G2163" s="945">
        <f>SUM(G2161:G2162)</f>
        <v>9845317.2200000007</v>
      </c>
      <c r="H2163" s="941"/>
      <c r="I2163" s="172"/>
      <c r="J2163" s="952">
        <f>SUM(J2161:J2162)</f>
        <v>9403137.0199999996</v>
      </c>
      <c r="K2163" s="945">
        <f>SUM(K2161:K2162)</f>
        <v>9403137.0199999996</v>
      </c>
      <c r="L2163" s="340"/>
      <c r="M2163" s="945"/>
      <c r="N2163" s="878">
        <f>AVERAGE(N2161:N2162)</f>
        <v>1</v>
      </c>
      <c r="O2163" s="694"/>
      <c r="P2163" s="176"/>
      <c r="Q2163" s="497"/>
      <c r="R2163" s="496"/>
      <c r="S2163" s="2"/>
      <c r="T2163" s="2"/>
      <c r="U2163" s="2"/>
      <c r="V2163" s="2"/>
    </row>
    <row r="2164" spans="1:22" s="6" customFormat="1" ht="31.5" customHeight="1" x14ac:dyDescent="0.25">
      <c r="A2164" s="1065">
        <v>112</v>
      </c>
      <c r="B2164" s="1064" t="s">
        <v>463</v>
      </c>
      <c r="C2164" s="281" t="s">
        <v>500</v>
      </c>
      <c r="D2164" s="208">
        <v>17500000</v>
      </c>
      <c r="E2164" s="948" t="s">
        <v>1065</v>
      </c>
      <c r="F2164" s="947" t="s">
        <v>804</v>
      </c>
      <c r="G2164" s="208">
        <v>15500000</v>
      </c>
      <c r="H2164" s="950">
        <v>42674</v>
      </c>
      <c r="I2164" s="950">
        <v>42711</v>
      </c>
      <c r="J2164" s="947">
        <v>14042529.01</v>
      </c>
      <c r="K2164" s="947">
        <v>14042529.01</v>
      </c>
      <c r="L2164" s="950">
        <v>42720</v>
      </c>
      <c r="M2164" s="255"/>
      <c r="N2164" s="909">
        <v>1</v>
      </c>
      <c r="O2164" s="699"/>
      <c r="P2164" s="176"/>
      <c r="Q2164" s="497"/>
      <c r="R2164" s="620"/>
      <c r="S2164" s="9"/>
      <c r="T2164" s="9"/>
      <c r="U2164" s="9"/>
      <c r="V2164" s="9"/>
    </row>
    <row r="2165" spans="1:22" s="8" customFormat="1" ht="49.5" x14ac:dyDescent="0.25">
      <c r="A2165" s="1065"/>
      <c r="B2165" s="1064"/>
      <c r="C2165" s="356" t="s">
        <v>37</v>
      </c>
      <c r="D2165" s="357">
        <v>133653.59</v>
      </c>
      <c r="E2165" s="690" t="s">
        <v>617</v>
      </c>
      <c r="F2165" s="361" t="s">
        <v>614</v>
      </c>
      <c r="G2165" s="357">
        <f>113265.75*1.18</f>
        <v>133653.58499999999</v>
      </c>
      <c r="H2165" s="360">
        <v>42451</v>
      </c>
      <c r="I2165" s="360">
        <v>42495</v>
      </c>
      <c r="J2165" s="361">
        <v>133653.59</v>
      </c>
      <c r="K2165" s="361">
        <v>133653.59</v>
      </c>
      <c r="L2165" s="360"/>
      <c r="M2165" s="361"/>
      <c r="N2165" s="539"/>
      <c r="O2165" s="466" t="s">
        <v>734</v>
      </c>
      <c r="P2165" s="176"/>
      <c r="Q2165" s="497"/>
      <c r="R2165" s="496"/>
      <c r="S2165" s="2"/>
      <c r="T2165" s="2"/>
      <c r="U2165" s="2"/>
      <c r="V2165" s="2"/>
    </row>
    <row r="2166" spans="1:22" s="11" customFormat="1" ht="33" outlineLevel="1" x14ac:dyDescent="0.25">
      <c r="A2166" s="1065"/>
      <c r="B2166" s="1064"/>
      <c r="C2166" s="549" t="s">
        <v>1095</v>
      </c>
      <c r="D2166" s="169">
        <v>116435.40651058601</v>
      </c>
      <c r="E2166" s="942"/>
      <c r="F2166" s="943"/>
      <c r="G2166" s="169"/>
      <c r="H2166" s="941"/>
      <c r="I2166" s="941"/>
      <c r="J2166" s="943"/>
      <c r="K2166" s="943"/>
      <c r="L2166" s="941"/>
      <c r="M2166" s="943"/>
      <c r="N2166" s="915"/>
      <c r="O2166" s="287"/>
      <c r="P2166" s="176"/>
      <c r="Q2166" s="446"/>
      <c r="R2166" s="335"/>
      <c r="S2166" s="2"/>
      <c r="T2166" s="2"/>
      <c r="U2166" s="2"/>
      <c r="V2166" s="2"/>
    </row>
    <row r="2167" spans="1:22" s="8" customFormat="1" ht="17.25" thickBot="1" x14ac:dyDescent="0.3">
      <c r="A2167" s="1066" t="s">
        <v>628</v>
      </c>
      <c r="B2167" s="1066"/>
      <c r="C2167" s="342"/>
      <c r="D2167" s="945">
        <f>SUM(D2164:D2166)</f>
        <v>17750088.996510588</v>
      </c>
      <c r="E2167" s="942"/>
      <c r="F2167" s="943"/>
      <c r="G2167" s="945">
        <f>SUM(G2164:G2165)</f>
        <v>15633653.585000001</v>
      </c>
      <c r="H2167" s="941"/>
      <c r="I2167" s="172"/>
      <c r="J2167" s="952">
        <f>SUM(J2164:J2165)</f>
        <v>14176182.6</v>
      </c>
      <c r="K2167" s="945">
        <f>SUM(K2164:K2165)</f>
        <v>14176182.6</v>
      </c>
      <c r="L2167" s="340"/>
      <c r="M2167" s="945"/>
      <c r="N2167" s="878">
        <f>AVERAGE(N2164:N2165)</f>
        <v>1</v>
      </c>
      <c r="O2167" s="694"/>
      <c r="P2167" s="176"/>
      <c r="Q2167" s="497"/>
      <c r="R2167" s="496"/>
      <c r="S2167" s="2"/>
      <c r="T2167" s="2"/>
      <c r="U2167" s="2"/>
      <c r="V2167" s="2"/>
    </row>
    <row r="2168" spans="1:22" s="6" customFormat="1" ht="31.5" customHeight="1" x14ac:dyDescent="0.25">
      <c r="A2168" s="1065">
        <v>113</v>
      </c>
      <c r="B2168" s="1064" t="s">
        <v>464</v>
      </c>
      <c r="C2168" s="281" t="s">
        <v>500</v>
      </c>
      <c r="D2168" s="208">
        <v>9286347.4800000004</v>
      </c>
      <c r="E2168" s="948" t="s">
        <v>1154</v>
      </c>
      <c r="F2168" s="947" t="s">
        <v>1153</v>
      </c>
      <c r="G2168" s="208">
        <v>9286347.4800000004</v>
      </c>
      <c r="H2168" s="950">
        <v>42678</v>
      </c>
      <c r="I2168" s="950">
        <v>42688</v>
      </c>
      <c r="J2168" s="947">
        <v>9178859.8100000005</v>
      </c>
      <c r="K2168" s="947">
        <v>9178859.8100000005</v>
      </c>
      <c r="L2168" s="254"/>
      <c r="M2168" s="255"/>
      <c r="N2168" s="909">
        <v>1</v>
      </c>
      <c r="O2168" s="699"/>
      <c r="P2168" s="176"/>
      <c r="Q2168" s="497"/>
      <c r="R2168" s="620"/>
      <c r="S2168" s="9"/>
      <c r="T2168" s="9"/>
      <c r="U2168" s="9"/>
      <c r="V2168" s="9"/>
    </row>
    <row r="2169" spans="1:22" s="8" customFormat="1" ht="49.5" x14ac:dyDescent="0.25">
      <c r="A2169" s="1065"/>
      <c r="B2169" s="1064"/>
      <c r="C2169" s="356" t="s">
        <v>37</v>
      </c>
      <c r="D2169" s="357">
        <v>100362.69</v>
      </c>
      <c r="E2169" s="690" t="s">
        <v>617</v>
      </c>
      <c r="F2169" s="361" t="s">
        <v>614</v>
      </c>
      <c r="G2169" s="357">
        <f>85053.13*1.18</f>
        <v>100362.6934</v>
      </c>
      <c r="H2169" s="360">
        <v>42451</v>
      </c>
      <c r="I2169" s="360">
        <v>42495</v>
      </c>
      <c r="J2169" s="361">
        <v>100362.69</v>
      </c>
      <c r="K2169" s="361">
        <v>100362.69</v>
      </c>
      <c r="L2169" s="360"/>
      <c r="M2169" s="361"/>
      <c r="N2169" s="539"/>
      <c r="O2169" s="466" t="s">
        <v>734</v>
      </c>
      <c r="P2169" s="176"/>
      <c r="Q2169" s="497"/>
      <c r="R2169" s="496"/>
      <c r="S2169" s="2"/>
      <c r="T2169" s="2"/>
      <c r="U2169" s="2"/>
      <c r="V2169" s="2"/>
    </row>
    <row r="2170" spans="1:22" s="11" customFormat="1" ht="33" outlineLevel="1" x14ac:dyDescent="0.25">
      <c r="A2170" s="1065"/>
      <c r="B2170" s="1064"/>
      <c r="C2170" s="549" t="s">
        <v>1095</v>
      </c>
      <c r="D2170" s="169">
        <v>64536.219798521197</v>
      </c>
      <c r="E2170" s="942"/>
      <c r="F2170" s="943"/>
      <c r="G2170" s="169"/>
      <c r="H2170" s="941"/>
      <c r="I2170" s="941"/>
      <c r="J2170" s="943"/>
      <c r="K2170" s="943"/>
      <c r="L2170" s="941"/>
      <c r="M2170" s="943"/>
      <c r="N2170" s="915"/>
      <c r="O2170" s="287"/>
      <c r="P2170" s="176"/>
      <c r="Q2170" s="446"/>
      <c r="R2170" s="335"/>
      <c r="S2170" s="2"/>
      <c r="T2170" s="2"/>
      <c r="U2170" s="2"/>
      <c r="V2170" s="2"/>
    </row>
    <row r="2171" spans="1:22" s="8" customFormat="1" ht="17.25" thickBot="1" x14ac:dyDescent="0.3">
      <c r="A2171" s="1066" t="s">
        <v>628</v>
      </c>
      <c r="B2171" s="1066"/>
      <c r="C2171" s="342"/>
      <c r="D2171" s="945">
        <f>SUM(D2168:D2170)</f>
        <v>9451246.389798522</v>
      </c>
      <c r="E2171" s="942"/>
      <c r="F2171" s="943"/>
      <c r="G2171" s="945">
        <f>SUM(G2168:G2169)</f>
        <v>9386710.1733999997</v>
      </c>
      <c r="H2171" s="941"/>
      <c r="I2171" s="172"/>
      <c r="J2171" s="952">
        <f>SUM(J2168:J2169)</f>
        <v>9279222.5</v>
      </c>
      <c r="K2171" s="945">
        <f>SUM(K2168:K2169)</f>
        <v>9279222.5</v>
      </c>
      <c r="L2171" s="340"/>
      <c r="M2171" s="945"/>
      <c r="N2171" s="878">
        <f>AVERAGE(N2168:N2169)</f>
        <v>1</v>
      </c>
      <c r="O2171" s="694"/>
      <c r="P2171" s="176"/>
      <c r="Q2171" s="497"/>
      <c r="R2171" s="496"/>
      <c r="S2171" s="2"/>
      <c r="T2171" s="2"/>
      <c r="U2171" s="2"/>
      <c r="V2171" s="2"/>
    </row>
    <row r="2172" spans="1:22" s="6" customFormat="1" ht="33" x14ac:dyDescent="0.25">
      <c r="A2172" s="1065">
        <v>114</v>
      </c>
      <c r="B2172" s="1064" t="s">
        <v>465</v>
      </c>
      <c r="C2172" s="281" t="s">
        <v>500</v>
      </c>
      <c r="D2172" s="208">
        <v>8935932.3200000003</v>
      </c>
      <c r="E2172" s="948" t="s">
        <v>842</v>
      </c>
      <c r="F2172" s="947" t="s">
        <v>661</v>
      </c>
      <c r="G2172" s="208">
        <v>8135991.4400000004</v>
      </c>
      <c r="H2172" s="950">
        <v>42550</v>
      </c>
      <c r="I2172" s="950">
        <v>42558</v>
      </c>
      <c r="J2172" s="947">
        <v>8935932.3200000003</v>
      </c>
      <c r="K2172" s="947">
        <v>8935932.3200000003</v>
      </c>
      <c r="L2172" s="254"/>
      <c r="M2172" s="947">
        <f>J2172-D2172</f>
        <v>0</v>
      </c>
      <c r="N2172" s="909">
        <v>1</v>
      </c>
      <c r="O2172" s="699"/>
      <c r="P2172" s="176"/>
      <c r="Q2172" s="497"/>
      <c r="R2172" s="620"/>
      <c r="S2172" s="9"/>
      <c r="T2172" s="9"/>
      <c r="U2172" s="9"/>
      <c r="V2172" s="9"/>
    </row>
    <row r="2173" spans="1:22" s="8" customFormat="1" ht="49.5" x14ac:dyDescent="0.25">
      <c r="A2173" s="1065"/>
      <c r="B2173" s="1064"/>
      <c r="C2173" s="356" t="s">
        <v>37</v>
      </c>
      <c r="D2173" s="357">
        <v>98986.26</v>
      </c>
      <c r="E2173" s="690" t="s">
        <v>617</v>
      </c>
      <c r="F2173" s="361" t="s">
        <v>614</v>
      </c>
      <c r="G2173" s="357">
        <f>83886.66*1.18</f>
        <v>98986.258799999996</v>
      </c>
      <c r="H2173" s="360">
        <v>42451</v>
      </c>
      <c r="I2173" s="360">
        <v>42495</v>
      </c>
      <c r="J2173" s="361">
        <v>98986.26</v>
      </c>
      <c r="K2173" s="361">
        <v>98986.26</v>
      </c>
      <c r="L2173" s="360"/>
      <c r="M2173" s="361"/>
      <c r="N2173" s="539"/>
      <c r="O2173" s="466" t="s">
        <v>734</v>
      </c>
      <c r="P2173" s="176"/>
      <c r="Q2173" s="497"/>
      <c r="R2173" s="496"/>
      <c r="S2173" s="2"/>
      <c r="T2173" s="2"/>
      <c r="U2173" s="2"/>
      <c r="V2173" s="2"/>
    </row>
    <row r="2174" spans="1:22" s="8" customFormat="1" ht="17.25" thickBot="1" x14ac:dyDescent="0.3">
      <c r="A2174" s="1066" t="s">
        <v>628</v>
      </c>
      <c r="B2174" s="1066"/>
      <c r="C2174" s="342"/>
      <c r="D2174" s="945">
        <f>SUM(D2172:D2173)</f>
        <v>9034918.5800000001</v>
      </c>
      <c r="E2174" s="942"/>
      <c r="F2174" s="943"/>
      <c r="G2174" s="945">
        <f>SUM(G2172:G2173)</f>
        <v>8234977.6988000004</v>
      </c>
      <c r="H2174" s="941"/>
      <c r="I2174" s="172"/>
      <c r="J2174" s="952">
        <f t="shared" ref="J2174" si="150">SUM(J2172:J2173)</f>
        <v>9034918.5800000001</v>
      </c>
      <c r="K2174" s="945">
        <f>SUM(K2172:K2173)</f>
        <v>9034918.5800000001</v>
      </c>
      <c r="L2174" s="340"/>
      <c r="M2174" s="945"/>
      <c r="N2174" s="878">
        <f>AVERAGE(N2172:N2173)</f>
        <v>1</v>
      </c>
      <c r="O2174" s="694"/>
      <c r="P2174" s="176"/>
      <c r="Q2174" s="497"/>
      <c r="R2174" s="496"/>
      <c r="S2174" s="2"/>
      <c r="T2174" s="2"/>
      <c r="U2174" s="2"/>
      <c r="V2174" s="2"/>
    </row>
    <row r="2175" spans="1:22" s="6" customFormat="1" ht="33" x14ac:dyDescent="0.25">
      <c r="A2175" s="1065">
        <v>115</v>
      </c>
      <c r="B2175" s="1064" t="s">
        <v>466</v>
      </c>
      <c r="C2175" s="281" t="s">
        <v>500</v>
      </c>
      <c r="D2175" s="208">
        <v>8752553.2400000002</v>
      </c>
      <c r="E2175" s="948" t="s">
        <v>838</v>
      </c>
      <c r="F2175" s="947" t="s">
        <v>661</v>
      </c>
      <c r="G2175" s="208">
        <v>8135991.4400000004</v>
      </c>
      <c r="H2175" s="950">
        <v>42551</v>
      </c>
      <c r="I2175" s="950">
        <v>42558</v>
      </c>
      <c r="J2175" s="947">
        <v>8752553.2400000002</v>
      </c>
      <c r="K2175" s="947">
        <v>8752553.2400000002</v>
      </c>
      <c r="L2175" s="254"/>
      <c r="M2175" s="947">
        <f>J2175-D2175</f>
        <v>0</v>
      </c>
      <c r="N2175" s="916">
        <v>1</v>
      </c>
      <c r="O2175" s="829"/>
      <c r="P2175" s="176"/>
      <c r="Q2175" s="497"/>
      <c r="R2175" s="620"/>
      <c r="S2175" s="9"/>
      <c r="T2175" s="9"/>
      <c r="U2175" s="9"/>
      <c r="V2175" s="9"/>
    </row>
    <row r="2176" spans="1:22" s="8" customFormat="1" ht="49.5" x14ac:dyDescent="0.25">
      <c r="A2176" s="1065"/>
      <c r="B2176" s="1064"/>
      <c r="C2176" s="356" t="s">
        <v>37</v>
      </c>
      <c r="D2176" s="357">
        <v>99132.71</v>
      </c>
      <c r="E2176" s="690" t="s">
        <v>617</v>
      </c>
      <c r="F2176" s="361" t="s">
        <v>614</v>
      </c>
      <c r="G2176" s="357">
        <f>84010.77*1.18</f>
        <v>99132.708599999998</v>
      </c>
      <c r="H2176" s="360">
        <v>42451</v>
      </c>
      <c r="I2176" s="360">
        <v>42495</v>
      </c>
      <c r="J2176" s="361">
        <v>99132.71</v>
      </c>
      <c r="K2176" s="361">
        <v>99132.71</v>
      </c>
      <c r="L2176" s="360"/>
      <c r="M2176" s="361"/>
      <c r="N2176" s="539"/>
      <c r="O2176" s="466" t="s">
        <v>734</v>
      </c>
      <c r="P2176" s="176"/>
      <c r="Q2176" s="497"/>
      <c r="R2176" s="496"/>
      <c r="S2176" s="2"/>
      <c r="T2176" s="2"/>
      <c r="U2176" s="2"/>
      <c r="V2176" s="2"/>
    </row>
    <row r="2177" spans="1:22" s="8" customFormat="1" ht="17.25" thickBot="1" x14ac:dyDescent="0.3">
      <c r="A2177" s="1066" t="s">
        <v>628</v>
      </c>
      <c r="B2177" s="1066"/>
      <c r="C2177" s="342"/>
      <c r="D2177" s="945">
        <f>SUM(D2175:D2176)</f>
        <v>8851685.9500000011</v>
      </c>
      <c r="E2177" s="942"/>
      <c r="F2177" s="943"/>
      <c r="G2177" s="945">
        <f>SUM(G2175:G2176)</f>
        <v>8235124.1486</v>
      </c>
      <c r="H2177" s="941"/>
      <c r="I2177" s="172"/>
      <c r="J2177" s="952">
        <f t="shared" ref="J2177" si="151">SUM(J2175:J2176)</f>
        <v>8851685.9500000011</v>
      </c>
      <c r="K2177" s="945">
        <f>SUM(K2175:K2176)</f>
        <v>8851685.9500000011</v>
      </c>
      <c r="L2177" s="340"/>
      <c r="M2177" s="945"/>
      <c r="N2177" s="878">
        <f>AVERAGE(N2175:N2176)</f>
        <v>1</v>
      </c>
      <c r="O2177" s="694"/>
      <c r="P2177" s="176"/>
      <c r="Q2177" s="497"/>
      <c r="R2177" s="496"/>
      <c r="S2177" s="2"/>
      <c r="T2177" s="2"/>
      <c r="U2177" s="2"/>
      <c r="V2177" s="2"/>
    </row>
    <row r="2178" spans="1:22" s="6" customFormat="1" ht="33" x14ac:dyDescent="0.25">
      <c r="A2178" s="1065">
        <v>116</v>
      </c>
      <c r="B2178" s="1064" t="s">
        <v>467</v>
      </c>
      <c r="C2178" s="281" t="s">
        <v>500</v>
      </c>
      <c r="D2178" s="208">
        <v>9793335.5</v>
      </c>
      <c r="E2178" s="948" t="s">
        <v>944</v>
      </c>
      <c r="F2178" s="947" t="s">
        <v>806</v>
      </c>
      <c r="G2178" s="208">
        <v>11487796.779999999</v>
      </c>
      <c r="H2178" s="950">
        <v>42616</v>
      </c>
      <c r="I2178" s="950">
        <v>42612</v>
      </c>
      <c r="J2178" s="947">
        <v>9793335.5</v>
      </c>
      <c r="K2178" s="947">
        <v>9793335.5</v>
      </c>
      <c r="L2178" s="254"/>
      <c r="M2178" s="255"/>
      <c r="N2178" s="909">
        <v>1</v>
      </c>
      <c r="O2178" s="699"/>
      <c r="P2178" s="176"/>
      <c r="Q2178" s="497"/>
      <c r="R2178" s="620"/>
      <c r="S2178" s="9"/>
      <c r="T2178" s="9"/>
      <c r="U2178" s="9"/>
      <c r="V2178" s="9"/>
    </row>
    <row r="2179" spans="1:22" s="8" customFormat="1" ht="49.5" x14ac:dyDescent="0.25">
      <c r="A2179" s="1065"/>
      <c r="B2179" s="1064"/>
      <c r="C2179" s="356" t="s">
        <v>37</v>
      </c>
      <c r="D2179" s="357">
        <v>110937.4522</v>
      </c>
      <c r="E2179" s="690" t="s">
        <v>618</v>
      </c>
      <c r="F2179" s="361" t="s">
        <v>614</v>
      </c>
      <c r="G2179" s="357">
        <f>94014.79*1.18</f>
        <v>110937.45219999999</v>
      </c>
      <c r="H2179" s="360">
        <v>42451</v>
      </c>
      <c r="I2179" s="360">
        <v>42524</v>
      </c>
      <c r="J2179" s="361">
        <v>94014.79</v>
      </c>
      <c r="K2179" s="361">
        <v>94014.79</v>
      </c>
      <c r="L2179" s="360">
        <v>42724</v>
      </c>
      <c r="M2179" s="361"/>
      <c r="N2179" s="539"/>
      <c r="O2179" s="466" t="s">
        <v>734</v>
      </c>
      <c r="P2179" s="176"/>
      <c r="Q2179" s="497"/>
      <c r="R2179" s="496"/>
      <c r="S2179" s="2"/>
      <c r="T2179" s="2"/>
      <c r="U2179" s="2"/>
      <c r="V2179" s="2"/>
    </row>
    <row r="2180" spans="1:22" s="8" customFormat="1" ht="17.25" thickBot="1" x14ac:dyDescent="0.3">
      <c r="A2180" s="1066" t="s">
        <v>628</v>
      </c>
      <c r="B2180" s="1066"/>
      <c r="C2180" s="342"/>
      <c r="D2180" s="945">
        <f>SUM(D2178:D2179)</f>
        <v>9904272.9521999992</v>
      </c>
      <c r="E2180" s="942"/>
      <c r="F2180" s="943"/>
      <c r="G2180" s="945">
        <f>SUM(G2178:G2179)</f>
        <v>11598734.232199999</v>
      </c>
      <c r="H2180" s="941"/>
      <c r="I2180" s="172"/>
      <c r="J2180" s="952">
        <f>SUM(J2178:J2179)</f>
        <v>9887350.2899999991</v>
      </c>
      <c r="K2180" s="945">
        <f>SUM(K2178:K2179)</f>
        <v>9887350.2899999991</v>
      </c>
      <c r="L2180" s="340"/>
      <c r="M2180" s="945"/>
      <c r="N2180" s="878">
        <f>AVERAGE(N2178:N2179)</f>
        <v>1</v>
      </c>
      <c r="O2180" s="694"/>
      <c r="P2180" s="176"/>
      <c r="Q2180" s="497"/>
      <c r="R2180" s="496"/>
      <c r="S2180" s="2"/>
      <c r="T2180" s="2"/>
      <c r="U2180" s="2"/>
      <c r="V2180" s="2"/>
    </row>
    <row r="2181" spans="1:22" s="6" customFormat="1" ht="33" x14ac:dyDescent="0.25">
      <c r="A2181" s="1065">
        <v>117</v>
      </c>
      <c r="B2181" s="1064" t="s">
        <v>468</v>
      </c>
      <c r="C2181" s="281" t="s">
        <v>500</v>
      </c>
      <c r="D2181" s="208">
        <v>5581991.4900000002</v>
      </c>
      <c r="E2181" s="948" t="s">
        <v>987</v>
      </c>
      <c r="F2181" s="947" t="s">
        <v>951</v>
      </c>
      <c r="G2181" s="208">
        <v>6188471.0599999996</v>
      </c>
      <c r="H2181" s="950">
        <v>42653</v>
      </c>
      <c r="I2181" s="950">
        <v>42654</v>
      </c>
      <c r="J2181" s="947">
        <v>5581991.4900000002</v>
      </c>
      <c r="K2181" s="947">
        <v>5581991.4900000002</v>
      </c>
      <c r="L2181" s="254"/>
      <c r="M2181" s="255"/>
      <c r="N2181" s="909">
        <v>1</v>
      </c>
      <c r="O2181" s="699"/>
      <c r="P2181" s="176"/>
      <c r="Q2181" s="201" t="s">
        <v>1121</v>
      </c>
      <c r="R2181" s="620"/>
      <c r="S2181" s="9"/>
      <c r="T2181" s="9"/>
      <c r="U2181" s="9"/>
      <c r="V2181" s="9"/>
    </row>
    <row r="2182" spans="1:22" s="8" customFormat="1" ht="49.5" x14ac:dyDescent="0.25">
      <c r="A2182" s="1065"/>
      <c r="B2182" s="1064"/>
      <c r="C2182" s="356" t="s">
        <v>37</v>
      </c>
      <c r="D2182" s="357">
        <v>97328.87</v>
      </c>
      <c r="E2182" s="690" t="s">
        <v>618</v>
      </c>
      <c r="F2182" s="361" t="s">
        <v>614</v>
      </c>
      <c r="G2182" s="357">
        <f>82482.09*1.18</f>
        <v>97328.866199999989</v>
      </c>
      <c r="H2182" s="360">
        <v>42451</v>
      </c>
      <c r="I2182" s="360">
        <v>42570</v>
      </c>
      <c r="J2182" s="361">
        <v>82482.09</v>
      </c>
      <c r="K2182" s="361">
        <v>82482.09</v>
      </c>
      <c r="L2182" s="360">
        <v>42724</v>
      </c>
      <c r="M2182" s="361"/>
      <c r="N2182" s="539"/>
      <c r="O2182" s="466" t="s">
        <v>734</v>
      </c>
      <c r="P2182" s="176"/>
      <c r="Q2182" s="497"/>
      <c r="R2182" s="496"/>
      <c r="S2182" s="2"/>
      <c r="T2182" s="2"/>
      <c r="U2182" s="2"/>
      <c r="V2182" s="2"/>
    </row>
    <row r="2183" spans="1:22" s="8" customFormat="1" ht="17.25" thickBot="1" x14ac:dyDescent="0.3">
      <c r="A2183" s="1066" t="s">
        <v>628</v>
      </c>
      <c r="B2183" s="1066"/>
      <c r="C2183" s="342"/>
      <c r="D2183" s="945">
        <f>SUM(D2181:D2182)</f>
        <v>5679320.3600000003</v>
      </c>
      <c r="E2183" s="942"/>
      <c r="F2183" s="943"/>
      <c r="G2183" s="945">
        <f>SUM(G2181:G2182)</f>
        <v>6285799.9261999996</v>
      </c>
      <c r="H2183" s="941"/>
      <c r="I2183" s="172"/>
      <c r="J2183" s="952">
        <f>SUM(J2181:J2182)</f>
        <v>5664473.5800000001</v>
      </c>
      <c r="K2183" s="945">
        <f>SUM(K2181:K2182)</f>
        <v>5664473.5800000001</v>
      </c>
      <c r="L2183" s="340"/>
      <c r="M2183" s="945"/>
      <c r="N2183" s="878">
        <f>AVERAGE(N2181:N2182)</f>
        <v>1</v>
      </c>
      <c r="O2183" s="694"/>
      <c r="P2183" s="176"/>
      <c r="Q2183" s="497"/>
      <c r="R2183" s="496"/>
      <c r="S2183" s="2"/>
      <c r="T2183" s="2"/>
      <c r="U2183" s="2"/>
      <c r="V2183" s="2"/>
    </row>
    <row r="2184" spans="1:22" s="6" customFormat="1" ht="34.5" customHeight="1" x14ac:dyDescent="0.25">
      <c r="A2184" s="1065">
        <v>118</v>
      </c>
      <c r="B2184" s="1064" t="s">
        <v>469</v>
      </c>
      <c r="C2184" s="281" t="s">
        <v>500</v>
      </c>
      <c r="D2184" s="208">
        <v>5938259.3799999999</v>
      </c>
      <c r="E2184" s="948" t="s">
        <v>868</v>
      </c>
      <c r="F2184" s="947" t="s">
        <v>869</v>
      </c>
      <c r="G2184" s="208">
        <v>10615367.539999999</v>
      </c>
      <c r="H2184" s="950">
        <v>42587</v>
      </c>
      <c r="I2184" s="950">
        <v>42590</v>
      </c>
      <c r="J2184" s="947">
        <v>5938259.3799999999</v>
      </c>
      <c r="K2184" s="947">
        <v>5938259.3799999999</v>
      </c>
      <c r="L2184" s="254"/>
      <c r="M2184" s="255"/>
      <c r="N2184" s="909">
        <v>1</v>
      </c>
      <c r="O2184" s="699"/>
      <c r="P2184" s="176"/>
      <c r="Q2184" s="497"/>
      <c r="R2184" s="620"/>
      <c r="S2184" s="9"/>
      <c r="T2184" s="9"/>
      <c r="U2184" s="9"/>
      <c r="V2184" s="9"/>
    </row>
    <row r="2185" spans="1:22" s="8" customFormat="1" ht="49.5" x14ac:dyDescent="0.25">
      <c r="A2185" s="1065"/>
      <c r="B2185" s="1064"/>
      <c r="C2185" s="356" t="s">
        <v>37</v>
      </c>
      <c r="D2185" s="357">
        <v>101109.26</v>
      </c>
      <c r="E2185" s="690" t="s">
        <v>618</v>
      </c>
      <c r="F2185" s="361" t="s">
        <v>614</v>
      </c>
      <c r="G2185" s="357">
        <f>85685.81*1.18</f>
        <v>101109.2558</v>
      </c>
      <c r="H2185" s="360">
        <v>42451</v>
      </c>
      <c r="I2185" s="360">
        <v>42482</v>
      </c>
      <c r="J2185" s="361">
        <v>85685.81</v>
      </c>
      <c r="K2185" s="361">
        <v>85685.81</v>
      </c>
      <c r="L2185" s="360">
        <v>42724</v>
      </c>
      <c r="M2185" s="361"/>
      <c r="N2185" s="539"/>
      <c r="O2185" s="466" t="s">
        <v>734</v>
      </c>
      <c r="P2185" s="176"/>
      <c r="Q2185" s="497"/>
      <c r="R2185" s="496"/>
      <c r="S2185" s="2"/>
      <c r="T2185" s="2"/>
      <c r="U2185" s="2"/>
      <c r="V2185" s="2"/>
    </row>
    <row r="2186" spans="1:22" s="8" customFormat="1" ht="17.25" thickBot="1" x14ac:dyDescent="0.3">
      <c r="A2186" s="1066" t="s">
        <v>628</v>
      </c>
      <c r="B2186" s="1066"/>
      <c r="C2186" s="342"/>
      <c r="D2186" s="945">
        <f>SUM(D2184:D2185)</f>
        <v>6039368.6399999997</v>
      </c>
      <c r="E2186" s="942"/>
      <c r="F2186" s="943"/>
      <c r="G2186" s="945">
        <f>SUM(G2184:G2185)</f>
        <v>10716476.795799999</v>
      </c>
      <c r="H2186" s="941"/>
      <c r="I2186" s="172"/>
      <c r="J2186" s="952">
        <f>SUM(J2184:J2185)</f>
        <v>6023945.1899999995</v>
      </c>
      <c r="K2186" s="945">
        <f>SUM(K2184:K2185)</f>
        <v>6023945.1899999995</v>
      </c>
      <c r="L2186" s="340"/>
      <c r="M2186" s="945"/>
      <c r="N2186" s="878">
        <f>AVERAGE(N2184:N2185)</f>
        <v>1</v>
      </c>
      <c r="O2186" s="694"/>
      <c r="P2186" s="176"/>
      <c r="Q2186" s="497"/>
      <c r="R2186" s="496"/>
      <c r="S2186" s="2"/>
      <c r="T2186" s="2"/>
      <c r="U2186" s="2"/>
      <c r="V2186" s="2"/>
    </row>
    <row r="2187" spans="1:22" s="6" customFormat="1" ht="30" customHeight="1" x14ac:dyDescent="0.25">
      <c r="A2187" s="1065">
        <v>119</v>
      </c>
      <c r="B2187" s="1076" t="s">
        <v>470</v>
      </c>
      <c r="C2187" s="281" t="s">
        <v>500</v>
      </c>
      <c r="D2187" s="208">
        <v>8087159.4699999997</v>
      </c>
      <c r="E2187" s="948" t="s">
        <v>739</v>
      </c>
      <c r="F2187" s="947" t="s">
        <v>624</v>
      </c>
      <c r="G2187" s="208">
        <v>8350000</v>
      </c>
      <c r="H2187" s="950">
        <v>42497</v>
      </c>
      <c r="I2187" s="950">
        <v>42506</v>
      </c>
      <c r="J2187" s="947">
        <v>8087159.4700000007</v>
      </c>
      <c r="K2187" s="947">
        <v>8087159.4699999997</v>
      </c>
      <c r="L2187" s="950"/>
      <c r="M2187" s="947">
        <f>J2187-D2187</f>
        <v>0</v>
      </c>
      <c r="N2187" s="909">
        <v>1</v>
      </c>
      <c r="O2187" s="718"/>
      <c r="P2187" s="176"/>
      <c r="Q2187" s="497"/>
      <c r="R2187" s="620"/>
      <c r="S2187" s="9"/>
      <c r="T2187" s="9"/>
      <c r="U2187" s="9"/>
      <c r="V2187" s="9"/>
    </row>
    <row r="2188" spans="1:22" s="8" customFormat="1" ht="49.5" x14ac:dyDescent="0.25">
      <c r="A2188" s="1065"/>
      <c r="B2188" s="1076"/>
      <c r="C2188" s="356" t="s">
        <v>37</v>
      </c>
      <c r="D2188" s="357">
        <v>73161.66</v>
      </c>
      <c r="E2188" s="690" t="s">
        <v>622</v>
      </c>
      <c r="F2188" s="361" t="s">
        <v>614</v>
      </c>
      <c r="G2188" s="357">
        <v>73161.66</v>
      </c>
      <c r="H2188" s="360">
        <v>42384</v>
      </c>
      <c r="I2188" s="360">
        <v>42394</v>
      </c>
      <c r="J2188" s="361">
        <v>62001.43</v>
      </c>
      <c r="K2188" s="361">
        <v>62001.43</v>
      </c>
      <c r="L2188" s="360">
        <v>42724</v>
      </c>
      <c r="M2188" s="361"/>
      <c r="N2188" s="539"/>
      <c r="O2188" s="466" t="s">
        <v>734</v>
      </c>
      <c r="P2188" s="176"/>
      <c r="Q2188" s="497"/>
      <c r="R2188" s="496"/>
      <c r="S2188" s="2"/>
      <c r="T2188" s="2"/>
      <c r="U2188" s="2"/>
      <c r="V2188" s="2"/>
    </row>
    <row r="2189" spans="1:22" s="8" customFormat="1" ht="17.25" thickBot="1" x14ac:dyDescent="0.3">
      <c r="A2189" s="1066" t="s">
        <v>628</v>
      </c>
      <c r="B2189" s="1066"/>
      <c r="C2189" s="342"/>
      <c r="D2189" s="945">
        <f>SUM(D2187:D2188)</f>
        <v>8160321.1299999999</v>
      </c>
      <c r="E2189" s="942"/>
      <c r="F2189" s="943"/>
      <c r="G2189" s="945">
        <f>SUM(G2187:G2188)</f>
        <v>8423161.6600000001</v>
      </c>
      <c r="H2189" s="941"/>
      <c r="I2189" s="172"/>
      <c r="J2189" s="952">
        <f t="shared" ref="J2189" si="152">SUM(J2187:J2188)</f>
        <v>8149160.9000000004</v>
      </c>
      <c r="K2189" s="945">
        <f>SUM(K2187:K2188)</f>
        <v>8149160.8999999994</v>
      </c>
      <c r="L2189" s="340"/>
      <c r="M2189" s="945"/>
      <c r="N2189" s="878">
        <f>AVERAGE(N2187:N2188)</f>
        <v>1</v>
      </c>
      <c r="O2189" s="707"/>
      <c r="P2189" s="176"/>
      <c r="Q2189" s="497"/>
      <c r="R2189" s="496"/>
      <c r="S2189" s="2"/>
      <c r="T2189" s="2"/>
      <c r="U2189" s="2"/>
      <c r="V2189" s="2"/>
    </row>
    <row r="2190" spans="1:22" s="6" customFormat="1" ht="30" customHeight="1" x14ac:dyDescent="0.25">
      <c r="A2190" s="1065">
        <v>120</v>
      </c>
      <c r="B2190" s="1064" t="s">
        <v>471</v>
      </c>
      <c r="C2190" s="281" t="s">
        <v>500</v>
      </c>
      <c r="D2190" s="208">
        <v>6205277.2800000003</v>
      </c>
      <c r="E2190" s="948" t="s">
        <v>981</v>
      </c>
      <c r="F2190" s="947" t="s">
        <v>806</v>
      </c>
      <c r="G2190" s="208">
        <v>7265282.4199999999</v>
      </c>
      <c r="H2190" s="950">
        <v>42633</v>
      </c>
      <c r="I2190" s="950">
        <v>42657</v>
      </c>
      <c r="J2190" s="947">
        <v>6205277.2800000003</v>
      </c>
      <c r="K2190" s="947">
        <v>6205277.2800000003</v>
      </c>
      <c r="L2190" s="254"/>
      <c r="M2190" s="255"/>
      <c r="N2190" s="909">
        <v>1</v>
      </c>
      <c r="O2190" s="699"/>
      <c r="P2190" s="176"/>
      <c r="Q2190" s="201" t="s">
        <v>1121</v>
      </c>
      <c r="R2190" s="620"/>
      <c r="S2190" s="9"/>
      <c r="T2190" s="9"/>
      <c r="U2190" s="9"/>
      <c r="V2190" s="9"/>
    </row>
    <row r="2191" spans="1:22" s="8" customFormat="1" ht="49.5" x14ac:dyDescent="0.25">
      <c r="A2191" s="1065"/>
      <c r="B2191" s="1064"/>
      <c r="C2191" s="356" t="s">
        <v>37</v>
      </c>
      <c r="D2191" s="357">
        <v>93305.21</v>
      </c>
      <c r="E2191" s="690" t="s">
        <v>618</v>
      </c>
      <c r="F2191" s="361" t="s">
        <v>614</v>
      </c>
      <c r="G2191" s="357">
        <f>79072.21*1.18</f>
        <v>93305.207800000004</v>
      </c>
      <c r="H2191" s="360">
        <v>42451</v>
      </c>
      <c r="I2191" s="360">
        <v>42545</v>
      </c>
      <c r="J2191" s="361">
        <v>79072.210000000006</v>
      </c>
      <c r="K2191" s="361">
        <v>79072.210000000006</v>
      </c>
      <c r="L2191" s="360">
        <v>42724</v>
      </c>
      <c r="M2191" s="361"/>
      <c r="N2191" s="539"/>
      <c r="O2191" s="466" t="s">
        <v>734</v>
      </c>
      <c r="P2191" s="176"/>
      <c r="Q2191" s="497"/>
      <c r="R2191" s="496"/>
      <c r="S2191" s="2"/>
      <c r="T2191" s="2"/>
      <c r="U2191" s="2"/>
      <c r="V2191" s="2"/>
    </row>
    <row r="2192" spans="1:22" s="8" customFormat="1" ht="17.25" thickBot="1" x14ac:dyDescent="0.3">
      <c r="A2192" s="1066" t="s">
        <v>628</v>
      </c>
      <c r="B2192" s="1066"/>
      <c r="C2192" s="342"/>
      <c r="D2192" s="945">
        <f>SUM(D2190:D2191)</f>
        <v>6298582.4900000002</v>
      </c>
      <c r="E2192" s="942"/>
      <c r="F2192" s="943"/>
      <c r="G2192" s="945">
        <f>SUM(G2190:G2191)</f>
        <v>7358587.6277999999</v>
      </c>
      <c r="H2192" s="941"/>
      <c r="I2192" s="172"/>
      <c r="J2192" s="952">
        <f>SUM(J2190:J2191)</f>
        <v>6284349.4900000002</v>
      </c>
      <c r="K2192" s="945">
        <f>SUM(K2190:K2191)</f>
        <v>6284349.4900000002</v>
      </c>
      <c r="L2192" s="340"/>
      <c r="M2192" s="945"/>
      <c r="N2192" s="878">
        <f>AVERAGE(N2190:N2191)</f>
        <v>1</v>
      </c>
      <c r="O2192" s="694"/>
      <c r="P2192" s="176"/>
      <c r="Q2192" s="497"/>
      <c r="R2192" s="496"/>
      <c r="S2192" s="2"/>
      <c r="T2192" s="2"/>
      <c r="U2192" s="2"/>
      <c r="V2192" s="2"/>
    </row>
    <row r="2193" spans="1:22" s="6" customFormat="1" ht="33" x14ac:dyDescent="0.25">
      <c r="A2193" s="1065">
        <v>121</v>
      </c>
      <c r="B2193" s="1076" t="s">
        <v>472</v>
      </c>
      <c r="C2193" s="208" t="s">
        <v>38</v>
      </c>
      <c r="D2193" s="208">
        <v>1910762.47</v>
      </c>
      <c r="E2193" s="948" t="s">
        <v>1007</v>
      </c>
      <c r="F2193" s="947" t="s">
        <v>770</v>
      </c>
      <c r="G2193" s="208">
        <v>1569086.33</v>
      </c>
      <c r="H2193" s="950">
        <v>42625</v>
      </c>
      <c r="I2193" s="950">
        <v>42667</v>
      </c>
      <c r="J2193" s="947">
        <v>1910762.47</v>
      </c>
      <c r="K2193" s="947">
        <v>1910762.47</v>
      </c>
      <c r="L2193" s="254"/>
      <c r="M2193" s="255"/>
      <c r="N2193" s="909">
        <v>1</v>
      </c>
      <c r="O2193" s="736"/>
      <c r="P2193" s="176"/>
      <c r="Q2193" s="201" t="s">
        <v>1121</v>
      </c>
      <c r="R2193" s="620"/>
      <c r="S2193" s="9"/>
      <c r="T2193" s="9"/>
      <c r="U2193" s="9"/>
      <c r="V2193" s="9"/>
    </row>
    <row r="2194" spans="1:22" s="8" customFormat="1" ht="33" x14ac:dyDescent="0.25">
      <c r="A2194" s="1065"/>
      <c r="B2194" s="1076"/>
      <c r="C2194" s="208" t="s">
        <v>34</v>
      </c>
      <c r="D2194" s="208">
        <v>8436751.4900000002</v>
      </c>
      <c r="E2194" s="948" t="s">
        <v>1007</v>
      </c>
      <c r="F2194" s="947" t="s">
        <v>770</v>
      </c>
      <c r="G2194" s="947">
        <v>9262843.4000000004</v>
      </c>
      <c r="H2194" s="950">
        <v>42625</v>
      </c>
      <c r="I2194" s="950">
        <v>42633</v>
      </c>
      <c r="J2194" s="947">
        <v>8436751.4900000002</v>
      </c>
      <c r="K2194" s="947">
        <v>8436751.4900000002</v>
      </c>
      <c r="L2194" s="950"/>
      <c r="M2194" s="947"/>
      <c r="N2194" s="534">
        <v>1</v>
      </c>
      <c r="O2194" s="733"/>
      <c r="P2194" s="176"/>
      <c r="Q2194" s="201" t="s">
        <v>1121</v>
      </c>
      <c r="R2194" s="496"/>
      <c r="S2194" s="2"/>
      <c r="T2194" s="2"/>
      <c r="U2194" s="2"/>
      <c r="V2194" s="2"/>
    </row>
    <row r="2195" spans="1:22" s="8" customFormat="1" ht="49.5" x14ac:dyDescent="0.25">
      <c r="A2195" s="1065"/>
      <c r="B2195" s="1076"/>
      <c r="C2195" s="356" t="s">
        <v>37</v>
      </c>
      <c r="D2195" s="357">
        <v>195169.9</v>
      </c>
      <c r="E2195" s="690" t="s">
        <v>622</v>
      </c>
      <c r="F2195" s="361" t="s">
        <v>614</v>
      </c>
      <c r="G2195" s="357">
        <v>195169.9</v>
      </c>
      <c r="H2195" s="360">
        <v>42384</v>
      </c>
      <c r="I2195" s="360">
        <v>42571</v>
      </c>
      <c r="J2195" s="361">
        <v>165398.28</v>
      </c>
      <c r="K2195" s="361">
        <v>165398.28</v>
      </c>
      <c r="L2195" s="360" t="s">
        <v>1473</v>
      </c>
      <c r="M2195" s="361"/>
      <c r="N2195" s="539"/>
      <c r="O2195" s="466" t="s">
        <v>734</v>
      </c>
      <c r="P2195" s="176"/>
      <c r="Q2195" s="497"/>
      <c r="R2195" s="496"/>
      <c r="S2195" s="2"/>
      <c r="T2195" s="2"/>
      <c r="U2195" s="2"/>
      <c r="V2195" s="2"/>
    </row>
    <row r="2196" spans="1:22" s="8" customFormat="1" ht="17.25" thickBot="1" x14ac:dyDescent="0.3">
      <c r="A2196" s="1066" t="s">
        <v>628</v>
      </c>
      <c r="B2196" s="1066"/>
      <c r="C2196" s="339"/>
      <c r="D2196" s="945">
        <f>SUM(D2193:D2195)</f>
        <v>10542683.860000001</v>
      </c>
      <c r="E2196" s="942"/>
      <c r="F2196" s="943"/>
      <c r="G2196" s="945">
        <f>SUM(G2193:G2195)</f>
        <v>11027099.630000001</v>
      </c>
      <c r="H2196" s="941"/>
      <c r="I2196" s="172"/>
      <c r="J2196" s="952">
        <f>SUM(J2193:J2195)</f>
        <v>10512912.24</v>
      </c>
      <c r="K2196" s="945">
        <f>SUM(K2193:K2195)</f>
        <v>10512912.24</v>
      </c>
      <c r="L2196" s="340"/>
      <c r="M2196" s="945"/>
      <c r="N2196" s="878">
        <f>AVERAGE(N2193:N2195)</f>
        <v>1</v>
      </c>
      <c r="O2196" s="713"/>
      <c r="P2196" s="176"/>
      <c r="Q2196" s="497"/>
      <c r="R2196" s="496"/>
      <c r="S2196" s="2"/>
      <c r="T2196" s="2"/>
      <c r="U2196" s="2"/>
      <c r="V2196" s="2"/>
    </row>
    <row r="2197" spans="1:22" s="6" customFormat="1" ht="33" x14ac:dyDescent="0.25">
      <c r="A2197" s="1065">
        <v>122</v>
      </c>
      <c r="B2197" s="1076" t="s">
        <v>612</v>
      </c>
      <c r="C2197" s="208" t="s">
        <v>38</v>
      </c>
      <c r="D2197" s="208">
        <v>3555789.46</v>
      </c>
      <c r="E2197" s="948" t="s">
        <v>1007</v>
      </c>
      <c r="F2197" s="947" t="s">
        <v>770</v>
      </c>
      <c r="G2197" s="208">
        <v>3059555.48</v>
      </c>
      <c r="H2197" s="950">
        <v>42658</v>
      </c>
      <c r="I2197" s="950">
        <v>42667</v>
      </c>
      <c r="J2197" s="947">
        <v>3555789.46</v>
      </c>
      <c r="K2197" s="947">
        <v>3555789.46</v>
      </c>
      <c r="L2197" s="254"/>
      <c r="M2197" s="255"/>
      <c r="N2197" s="909">
        <v>1</v>
      </c>
      <c r="O2197" s="736"/>
      <c r="P2197" s="176"/>
      <c r="Q2197" s="201" t="s">
        <v>1121</v>
      </c>
      <c r="R2197" s="620"/>
      <c r="S2197" s="9"/>
      <c r="T2197" s="9"/>
      <c r="U2197" s="9"/>
      <c r="V2197" s="9"/>
    </row>
    <row r="2198" spans="1:22" s="8" customFormat="1" ht="33" x14ac:dyDescent="0.25">
      <c r="A2198" s="1065"/>
      <c r="B2198" s="1076"/>
      <c r="C2198" s="208" t="s">
        <v>34</v>
      </c>
      <c r="D2198" s="208">
        <v>9663111.5899999999</v>
      </c>
      <c r="E2198" s="948" t="s">
        <v>1007</v>
      </c>
      <c r="F2198" s="947" t="s">
        <v>770</v>
      </c>
      <c r="G2198" s="947">
        <v>9330164.4700000007</v>
      </c>
      <c r="H2198" s="950">
        <v>42625</v>
      </c>
      <c r="I2198" s="950">
        <v>42632</v>
      </c>
      <c r="J2198" s="947">
        <v>9663111.5899999999</v>
      </c>
      <c r="K2198" s="947">
        <v>9663111.5899999999</v>
      </c>
      <c r="L2198" s="950"/>
      <c r="M2198" s="947"/>
      <c r="N2198" s="207">
        <v>1</v>
      </c>
      <c r="O2198" s="931"/>
      <c r="P2198" s="176"/>
      <c r="Q2198" s="497"/>
      <c r="R2198" s="496"/>
      <c r="S2198" s="2"/>
      <c r="T2198" s="2"/>
      <c r="U2198" s="2"/>
      <c r="V2198" s="2"/>
    </row>
    <row r="2199" spans="1:22" s="8" customFormat="1" ht="33" x14ac:dyDescent="0.25">
      <c r="A2199" s="1065"/>
      <c r="B2199" s="1076"/>
      <c r="C2199" s="208" t="s">
        <v>35</v>
      </c>
      <c r="D2199" s="208">
        <v>5927980.0499999998</v>
      </c>
      <c r="E2199" s="948" t="s">
        <v>1007</v>
      </c>
      <c r="F2199" s="947" t="s">
        <v>770</v>
      </c>
      <c r="G2199" s="208">
        <v>6053596.8499999996</v>
      </c>
      <c r="H2199" s="950">
        <v>42658</v>
      </c>
      <c r="I2199" s="950">
        <v>42667</v>
      </c>
      <c r="J2199" s="947">
        <v>5927980.0499999998</v>
      </c>
      <c r="K2199" s="947">
        <v>5927980.0499999998</v>
      </c>
      <c r="L2199" s="950"/>
      <c r="M2199" s="947"/>
      <c r="N2199" s="534">
        <v>1</v>
      </c>
      <c r="O2199" s="733"/>
      <c r="P2199" s="176"/>
      <c r="Q2199" s="201" t="s">
        <v>1121</v>
      </c>
      <c r="R2199" s="496"/>
      <c r="S2199" s="2"/>
      <c r="T2199" s="2"/>
      <c r="U2199" s="2"/>
      <c r="V2199" s="2"/>
    </row>
    <row r="2200" spans="1:22" s="8" customFormat="1" ht="33" x14ac:dyDescent="0.25">
      <c r="A2200" s="1065"/>
      <c r="B2200" s="1076"/>
      <c r="C2200" s="208" t="s">
        <v>36</v>
      </c>
      <c r="D2200" s="208">
        <v>805678.63</v>
      </c>
      <c r="E2200" s="948" t="s">
        <v>1007</v>
      </c>
      <c r="F2200" s="947" t="s">
        <v>770</v>
      </c>
      <c r="G2200" s="208">
        <v>824753.47</v>
      </c>
      <c r="H2200" s="950">
        <v>42658</v>
      </c>
      <c r="I2200" s="950">
        <v>42667</v>
      </c>
      <c r="J2200" s="947">
        <v>805678.63</v>
      </c>
      <c r="K2200" s="947">
        <v>805678.63</v>
      </c>
      <c r="L2200" s="950"/>
      <c r="M2200" s="947"/>
      <c r="N2200" s="534">
        <v>1</v>
      </c>
      <c r="O2200" s="733"/>
      <c r="P2200" s="176"/>
      <c r="Q2200" s="201" t="s">
        <v>1121</v>
      </c>
      <c r="R2200" s="496"/>
      <c r="S2200" s="2"/>
      <c r="T2200" s="2"/>
      <c r="U2200" s="2"/>
      <c r="V2200" s="2"/>
    </row>
    <row r="2201" spans="1:22" s="8" customFormat="1" ht="49.5" x14ac:dyDescent="0.25">
      <c r="A2201" s="1065"/>
      <c r="B2201" s="1076"/>
      <c r="C2201" s="356" t="s">
        <v>37</v>
      </c>
      <c r="D2201" s="357">
        <v>336301.94</v>
      </c>
      <c r="E2201" s="690" t="s">
        <v>618</v>
      </c>
      <c r="F2201" s="361" t="s">
        <v>614</v>
      </c>
      <c r="G2201" s="357">
        <f>336301.94*1.18</f>
        <v>396836.2892</v>
      </c>
      <c r="H2201" s="360">
        <v>42451</v>
      </c>
      <c r="I2201" s="360">
        <v>42571</v>
      </c>
      <c r="J2201" s="361">
        <v>336301.92</v>
      </c>
      <c r="K2201" s="361">
        <v>336301.92</v>
      </c>
      <c r="L2201" s="360">
        <v>42724</v>
      </c>
      <c r="M2201" s="361"/>
      <c r="N2201" s="539"/>
      <c r="O2201" s="466" t="s">
        <v>877</v>
      </c>
      <c r="P2201" s="176"/>
      <c r="Q2201" s="497"/>
      <c r="R2201" s="496"/>
      <c r="S2201" s="2"/>
      <c r="T2201" s="2"/>
      <c r="U2201" s="2"/>
      <c r="V2201" s="2"/>
    </row>
    <row r="2202" spans="1:22" s="8" customFormat="1" ht="17.25" thickBot="1" x14ac:dyDescent="0.3">
      <c r="A2202" s="1066" t="s">
        <v>628</v>
      </c>
      <c r="B2202" s="1066"/>
      <c r="C2202" s="339"/>
      <c r="D2202" s="945">
        <f>SUM(D2197:D2201)</f>
        <v>20288861.670000002</v>
      </c>
      <c r="E2202" s="942"/>
      <c r="F2202" s="943"/>
      <c r="G2202" s="945">
        <f>SUM(G2197:G2201)</f>
        <v>19664906.5592</v>
      </c>
      <c r="H2202" s="941"/>
      <c r="I2202" s="172"/>
      <c r="J2202" s="952">
        <f>SUM(J2197:J2201)</f>
        <v>20288861.650000002</v>
      </c>
      <c r="K2202" s="945">
        <f>SUM(K2197:K2201)</f>
        <v>20288861.650000002</v>
      </c>
      <c r="L2202" s="340"/>
      <c r="M2202" s="945"/>
      <c r="N2202" s="878">
        <f>AVERAGE(N2197:N2201)</f>
        <v>1</v>
      </c>
      <c r="O2202" s="713"/>
      <c r="P2202" s="176"/>
      <c r="Q2202" s="497"/>
      <c r="R2202" s="496"/>
      <c r="S2202" s="2"/>
      <c r="T2202" s="2"/>
      <c r="U2202" s="2"/>
      <c r="V2202" s="2"/>
    </row>
    <row r="2203" spans="1:22" s="8" customFormat="1" ht="35.25" customHeight="1" x14ac:dyDescent="0.25">
      <c r="A2203" s="940">
        <v>123</v>
      </c>
      <c r="B2203" s="940" t="s">
        <v>1476</v>
      </c>
      <c r="C2203" s="339" t="s">
        <v>500</v>
      </c>
      <c r="D2203" s="339">
        <v>6555000</v>
      </c>
      <c r="E2203" s="942"/>
      <c r="F2203" s="943"/>
      <c r="G2203" s="945"/>
      <c r="H2203" s="941"/>
      <c r="I2203" s="172"/>
      <c r="J2203" s="339"/>
      <c r="K2203" s="945"/>
      <c r="L2203" s="340"/>
      <c r="M2203" s="945"/>
      <c r="N2203" s="586"/>
      <c r="O2203" s="932"/>
      <c r="P2203" s="176"/>
      <c r="Q2203" s="497"/>
      <c r="R2203" s="496"/>
      <c r="S2203" s="2"/>
      <c r="T2203" s="2"/>
      <c r="U2203" s="2"/>
      <c r="V2203" s="2"/>
    </row>
    <row r="2204" spans="1:22" s="8" customFormat="1" ht="17.25" thickBot="1" x14ac:dyDescent="0.3">
      <c r="A2204" s="1066" t="s">
        <v>628</v>
      </c>
      <c r="B2204" s="1066"/>
      <c r="C2204" s="339"/>
      <c r="D2204" s="945">
        <f>SUM(D2203)</f>
        <v>6555000</v>
      </c>
      <c r="E2204" s="942"/>
      <c r="F2204" s="943"/>
      <c r="G2204" s="945">
        <f>SUM(G2203)</f>
        <v>0</v>
      </c>
      <c r="H2204" s="941"/>
      <c r="I2204" s="172"/>
      <c r="J2204" s="339">
        <f>SUM(J2203)</f>
        <v>0</v>
      </c>
      <c r="K2204" s="945">
        <f>SUM(K2203)</f>
        <v>0</v>
      </c>
      <c r="L2204" s="340"/>
      <c r="M2204" s="945"/>
      <c r="N2204" s="933">
        <v>0</v>
      </c>
      <c r="O2204" s="734"/>
      <c r="P2204" s="176"/>
      <c r="Q2204" s="497"/>
      <c r="R2204" s="496"/>
      <c r="S2204" s="2"/>
      <c r="T2204" s="2"/>
      <c r="U2204" s="2"/>
      <c r="V2204" s="2"/>
    </row>
    <row r="2205" spans="1:22" s="6" customFormat="1" ht="33" x14ac:dyDescent="0.25">
      <c r="A2205" s="1065">
        <v>124</v>
      </c>
      <c r="B2205" s="1076" t="s">
        <v>473</v>
      </c>
      <c r="C2205" s="339" t="s">
        <v>38</v>
      </c>
      <c r="D2205" s="339">
        <v>2959068.3</v>
      </c>
      <c r="E2205" s="942" t="s">
        <v>1086</v>
      </c>
      <c r="F2205" s="943" t="s">
        <v>1087</v>
      </c>
      <c r="G2205" s="339">
        <v>2959068.3</v>
      </c>
      <c r="H2205" s="941">
        <v>42625</v>
      </c>
      <c r="I2205" s="954"/>
      <c r="J2205" s="943"/>
      <c r="K2205" s="949"/>
      <c r="L2205" s="955"/>
      <c r="M2205" s="949"/>
      <c r="N2205" s="914">
        <v>0.2</v>
      </c>
      <c r="O2205" s="736"/>
      <c r="P2205" s="176"/>
      <c r="Q2205" s="201" t="s">
        <v>1114</v>
      </c>
      <c r="R2205" s="620"/>
      <c r="S2205" s="9"/>
      <c r="T2205" s="9"/>
      <c r="U2205" s="9"/>
      <c r="V2205" s="9"/>
    </row>
    <row r="2206" spans="1:22" s="8" customFormat="1" ht="33" x14ac:dyDescent="0.25">
      <c r="A2206" s="1065"/>
      <c r="B2206" s="1076"/>
      <c r="C2206" s="339" t="s">
        <v>34</v>
      </c>
      <c r="D2206" s="339">
        <v>10094418.560000001</v>
      </c>
      <c r="E2206" s="942" t="s">
        <v>1086</v>
      </c>
      <c r="F2206" s="943" t="s">
        <v>1087</v>
      </c>
      <c r="G2206" s="303">
        <v>10094418.560000001</v>
      </c>
      <c r="H2206" s="941">
        <v>42625</v>
      </c>
      <c r="I2206" s="172"/>
      <c r="J2206" s="943"/>
      <c r="K2206" s="943"/>
      <c r="L2206" s="941"/>
      <c r="M2206" s="943"/>
      <c r="N2206" s="537">
        <v>0.95</v>
      </c>
      <c r="O2206" s="733"/>
      <c r="P2206" s="176"/>
      <c r="Q2206" s="201" t="s">
        <v>1114</v>
      </c>
      <c r="R2206" s="496"/>
      <c r="S2206" s="2"/>
      <c r="T2206" s="2"/>
      <c r="U2206" s="2"/>
      <c r="V2206" s="2"/>
    </row>
    <row r="2207" spans="1:22" s="8" customFormat="1" ht="49.5" x14ac:dyDescent="0.25">
      <c r="A2207" s="1065"/>
      <c r="B2207" s="1076"/>
      <c r="C2207" s="356" t="s">
        <v>37</v>
      </c>
      <c r="D2207" s="357">
        <v>199289.22</v>
      </c>
      <c r="E2207" s="690" t="s">
        <v>622</v>
      </c>
      <c r="F2207" s="361" t="s">
        <v>614</v>
      </c>
      <c r="G2207" s="357">
        <v>199289.22</v>
      </c>
      <c r="H2207" s="360">
        <v>42384</v>
      </c>
      <c r="I2207" s="360">
        <v>42571</v>
      </c>
      <c r="J2207" s="361">
        <v>168889.23</v>
      </c>
      <c r="K2207" s="361">
        <v>168889.23</v>
      </c>
      <c r="L2207" s="360">
        <v>42724</v>
      </c>
      <c r="M2207" s="361"/>
      <c r="N2207" s="539"/>
      <c r="O2207" s="466" t="s">
        <v>734</v>
      </c>
      <c r="P2207" s="176"/>
      <c r="Q2207" s="497"/>
      <c r="R2207" s="496"/>
      <c r="S2207" s="2"/>
      <c r="T2207" s="2"/>
      <c r="U2207" s="2"/>
      <c r="V2207" s="2"/>
    </row>
    <row r="2208" spans="1:22" s="11" customFormat="1" ht="33" outlineLevel="1" x14ac:dyDescent="0.25">
      <c r="A2208" s="1065"/>
      <c r="B2208" s="1076"/>
      <c r="C2208" s="549" t="s">
        <v>1095</v>
      </c>
      <c r="D2208" s="169">
        <v>112514.75052465701</v>
      </c>
      <c r="E2208" s="942"/>
      <c r="F2208" s="943"/>
      <c r="G2208" s="169"/>
      <c r="H2208" s="941"/>
      <c r="I2208" s="941"/>
      <c r="J2208" s="943"/>
      <c r="K2208" s="943"/>
      <c r="L2208" s="941"/>
      <c r="M2208" s="943"/>
      <c r="N2208" s="915"/>
      <c r="O2208" s="287"/>
      <c r="P2208" s="176"/>
      <c r="Q2208" s="446"/>
      <c r="R2208" s="335"/>
      <c r="S2208" s="2"/>
      <c r="T2208" s="2"/>
      <c r="U2208" s="2"/>
      <c r="V2208" s="2"/>
    </row>
    <row r="2209" spans="1:22" s="8" customFormat="1" ht="17.25" thickBot="1" x14ac:dyDescent="0.3">
      <c r="A2209" s="1066" t="s">
        <v>628</v>
      </c>
      <c r="B2209" s="1066"/>
      <c r="C2209" s="339"/>
      <c r="D2209" s="945">
        <f>SUM(D2205:D2208)</f>
        <v>13365290.830524657</v>
      </c>
      <c r="E2209" s="942"/>
      <c r="F2209" s="943"/>
      <c r="G2209" s="945">
        <f>SUM(G2205:G2207)</f>
        <v>13252776.08</v>
      </c>
      <c r="H2209" s="941"/>
      <c r="I2209" s="172"/>
      <c r="J2209" s="952">
        <f>SUM(J2205:J2207)</f>
        <v>168889.23</v>
      </c>
      <c r="K2209" s="945">
        <f>SUM(K2205:K2207)</f>
        <v>168889.23</v>
      </c>
      <c r="L2209" s="340"/>
      <c r="M2209" s="945"/>
      <c r="N2209" s="933">
        <f>AVERAGE(N2205:N2207)</f>
        <v>0.57499999999999996</v>
      </c>
      <c r="O2209" s="734"/>
      <c r="P2209" s="176"/>
      <c r="Q2209" s="497"/>
      <c r="R2209" s="496"/>
      <c r="S2209" s="2"/>
      <c r="T2209" s="2"/>
      <c r="U2209" s="2"/>
      <c r="V2209" s="2"/>
    </row>
    <row r="2210" spans="1:22" s="6" customFormat="1" ht="33" x14ac:dyDescent="0.25">
      <c r="A2210" s="1065">
        <v>125</v>
      </c>
      <c r="B2210" s="1076" t="s">
        <v>5</v>
      </c>
      <c r="C2210" s="339" t="s">
        <v>34</v>
      </c>
      <c r="D2210" s="339">
        <v>5674457.1600000001</v>
      </c>
      <c r="E2210" s="942" t="s">
        <v>1086</v>
      </c>
      <c r="F2210" s="943" t="s">
        <v>1087</v>
      </c>
      <c r="G2210" s="339">
        <v>5674457.1600000001</v>
      </c>
      <c r="H2210" s="941">
        <v>42623</v>
      </c>
      <c r="I2210" s="172"/>
      <c r="J2210" s="943"/>
      <c r="K2210" s="943"/>
      <c r="L2210" s="941"/>
      <c r="M2210" s="943"/>
      <c r="N2210" s="914">
        <v>0.95</v>
      </c>
      <c r="O2210" s="736"/>
      <c r="P2210" s="176"/>
      <c r="Q2210" s="201" t="s">
        <v>1114</v>
      </c>
      <c r="R2210" s="496"/>
      <c r="S2210" s="2"/>
      <c r="T2210" s="9"/>
      <c r="U2210" s="9"/>
      <c r="V2210" s="9"/>
    </row>
    <row r="2211" spans="1:22" s="8" customFormat="1" ht="33" x14ac:dyDescent="0.25">
      <c r="A2211" s="1065"/>
      <c r="B2211" s="1076"/>
      <c r="C2211" s="208" t="s">
        <v>500</v>
      </c>
      <c r="D2211" s="208">
        <v>7878062.3899999997</v>
      </c>
      <c r="E2211" s="947" t="s">
        <v>623</v>
      </c>
      <c r="F2211" s="947" t="s">
        <v>624</v>
      </c>
      <c r="G2211" s="208">
        <v>8600000</v>
      </c>
      <c r="H2211" s="950">
        <v>42475</v>
      </c>
      <c r="I2211" s="950">
        <v>42468</v>
      </c>
      <c r="J2211" s="947">
        <v>7878062.3900000006</v>
      </c>
      <c r="K2211" s="947">
        <v>7878062.3900000006</v>
      </c>
      <c r="L2211" s="950"/>
      <c r="M2211" s="947">
        <f>J2211-D2211</f>
        <v>0</v>
      </c>
      <c r="N2211" s="534">
        <v>1</v>
      </c>
      <c r="O2211" s="505"/>
      <c r="P2211" s="176"/>
      <c r="Q2211" s="931"/>
      <c r="R2211" s="496"/>
      <c r="S2211" s="25"/>
      <c r="T2211" s="2"/>
      <c r="U2211" s="2"/>
      <c r="V2211" s="2"/>
    </row>
    <row r="2212" spans="1:22" s="8" customFormat="1" ht="33" x14ac:dyDescent="0.25">
      <c r="A2212" s="1065"/>
      <c r="B2212" s="1076"/>
      <c r="C2212" s="339" t="s">
        <v>501</v>
      </c>
      <c r="D2212" s="339">
        <v>11310479.359999999</v>
      </c>
      <c r="E2212" s="303" t="s">
        <v>1174</v>
      </c>
      <c r="F2212" s="303" t="s">
        <v>670</v>
      </c>
      <c r="G2212" s="303">
        <v>11310479.359999999</v>
      </c>
      <c r="H2212" s="511">
        <v>42916</v>
      </c>
      <c r="I2212" s="302"/>
      <c r="J2212" s="303"/>
      <c r="K2212" s="303"/>
      <c r="L2212" s="511"/>
      <c r="M2212" s="303"/>
      <c r="N2212" s="928">
        <v>0</v>
      </c>
      <c r="O2212" s="733"/>
      <c r="P2212" s="934">
        <v>2017</v>
      </c>
      <c r="Q2212" s="931"/>
      <c r="R2212" s="661"/>
      <c r="S2212" s="25"/>
      <c r="T2212" s="2">
        <v>0</v>
      </c>
      <c r="U2212" s="2"/>
      <c r="V2212" s="2"/>
    </row>
    <row r="2213" spans="1:22" s="8" customFormat="1" ht="49.5" x14ac:dyDescent="0.25">
      <c r="A2213" s="1065"/>
      <c r="B2213" s="1076"/>
      <c r="C2213" s="356" t="s">
        <v>37</v>
      </c>
      <c r="D2213" s="357">
        <v>286511.7</v>
      </c>
      <c r="E2213" s="690" t="s">
        <v>622</v>
      </c>
      <c r="F2213" s="361" t="s">
        <v>614</v>
      </c>
      <c r="G2213" s="357">
        <v>286511.7</v>
      </c>
      <c r="H2213" s="360">
        <v>42384</v>
      </c>
      <c r="I2213" s="360">
        <v>42571</v>
      </c>
      <c r="J2213" s="361">
        <v>242806.61</v>
      </c>
      <c r="K2213" s="361">
        <v>242806.61</v>
      </c>
      <c r="L2213" s="360">
        <v>42724</v>
      </c>
      <c r="M2213" s="361"/>
      <c r="N2213" s="539"/>
      <c r="O2213" s="466" t="s">
        <v>734</v>
      </c>
      <c r="P2213" s="176"/>
      <c r="Q2213" s="497"/>
      <c r="R2213" s="496"/>
      <c r="S2213" s="2"/>
      <c r="T2213" s="2"/>
      <c r="U2213" s="2"/>
      <c r="V2213" s="2"/>
    </row>
    <row r="2214" spans="1:22" s="11" customFormat="1" ht="33" outlineLevel="1" x14ac:dyDescent="0.25">
      <c r="A2214" s="1065"/>
      <c r="B2214" s="1076"/>
      <c r="C2214" s="549" t="s">
        <v>1095</v>
      </c>
      <c r="D2214" s="169">
        <v>156254.27428752801</v>
      </c>
      <c r="E2214" s="942"/>
      <c r="F2214" s="943"/>
      <c r="G2214" s="169"/>
      <c r="H2214" s="941"/>
      <c r="I2214" s="941"/>
      <c r="J2214" s="943"/>
      <c r="K2214" s="943"/>
      <c r="L2214" s="941"/>
      <c r="M2214" s="943"/>
      <c r="N2214" s="915"/>
      <c r="O2214" s="287"/>
      <c r="P2214" s="176"/>
      <c r="Q2214" s="446"/>
      <c r="R2214" s="335"/>
      <c r="S2214" s="2"/>
      <c r="T2214" s="2"/>
      <c r="U2214" s="2"/>
      <c r="V2214" s="2"/>
    </row>
    <row r="2215" spans="1:22" s="8" customFormat="1" ht="17.25" thickBot="1" x14ac:dyDescent="0.3">
      <c r="A2215" s="1066" t="s">
        <v>628</v>
      </c>
      <c r="B2215" s="1066"/>
      <c r="C2215" s="339"/>
      <c r="D2215" s="945">
        <f>SUM(D2210:D2214)</f>
        <v>25305764.884287529</v>
      </c>
      <c r="E2215" s="942"/>
      <c r="F2215" s="943"/>
      <c r="G2215" s="945">
        <f>SUM(G2210:G2213)</f>
        <v>25871448.219999999</v>
      </c>
      <c r="H2215" s="941"/>
      <c r="I2215" s="172"/>
      <c r="J2215" s="952">
        <f>SUM(J2210:J2213)</f>
        <v>8120869.0000000009</v>
      </c>
      <c r="K2215" s="945">
        <f>SUM(K2210:K2213)</f>
        <v>8120869.0000000009</v>
      </c>
      <c r="L2215" s="340"/>
      <c r="M2215" s="945"/>
      <c r="N2215" s="878">
        <f>AVERAGE(N2210:N2213)</f>
        <v>0.65</v>
      </c>
      <c r="O2215" s="713"/>
      <c r="P2215" s="176"/>
      <c r="Q2215" s="497"/>
      <c r="R2215" s="496"/>
      <c r="S2215" s="2"/>
      <c r="T2215" s="2"/>
      <c r="U2215" s="2"/>
      <c r="V2215" s="2"/>
    </row>
    <row r="2216" spans="1:22" s="6" customFormat="1" ht="33" x14ac:dyDescent="0.25">
      <c r="A2216" s="1065">
        <v>126</v>
      </c>
      <c r="B2216" s="1064" t="s">
        <v>474</v>
      </c>
      <c r="C2216" s="281" t="s">
        <v>500</v>
      </c>
      <c r="D2216" s="208">
        <v>3858588.46</v>
      </c>
      <c r="E2216" s="948" t="s">
        <v>991</v>
      </c>
      <c r="F2216" s="947" t="s">
        <v>992</v>
      </c>
      <c r="G2216" s="208">
        <v>4000000</v>
      </c>
      <c r="H2216" s="950">
        <v>42623</v>
      </c>
      <c r="I2216" s="950">
        <v>42623</v>
      </c>
      <c r="J2216" s="947">
        <v>3858588.46</v>
      </c>
      <c r="K2216" s="947">
        <v>3858588.46</v>
      </c>
      <c r="L2216" s="254"/>
      <c r="M2216" s="255"/>
      <c r="N2216" s="909">
        <v>1</v>
      </c>
      <c r="O2216" s="699"/>
      <c r="P2216" s="176"/>
      <c r="Q2216" s="497"/>
      <c r="R2216" s="620"/>
      <c r="S2216" s="9"/>
      <c r="T2216" s="9"/>
      <c r="U2216" s="9"/>
      <c r="V2216" s="9"/>
    </row>
    <row r="2217" spans="1:22" s="8" customFormat="1" ht="49.5" x14ac:dyDescent="0.25">
      <c r="A2217" s="1065"/>
      <c r="B2217" s="1064"/>
      <c r="C2217" s="356" t="s">
        <v>37</v>
      </c>
      <c r="D2217" s="357">
        <v>91653.69</v>
      </c>
      <c r="E2217" s="690" t="s">
        <v>618</v>
      </c>
      <c r="F2217" s="361" t="s">
        <v>614</v>
      </c>
      <c r="G2217" s="357">
        <f>77672.62*1.18</f>
        <v>91653.691599999991</v>
      </c>
      <c r="H2217" s="360">
        <v>42451</v>
      </c>
      <c r="I2217" s="360">
        <v>42541</v>
      </c>
      <c r="J2217" s="361">
        <v>77672.62</v>
      </c>
      <c r="K2217" s="361">
        <v>77672.62</v>
      </c>
      <c r="L2217" s="360">
        <v>42724</v>
      </c>
      <c r="M2217" s="361"/>
      <c r="N2217" s="539"/>
      <c r="O2217" s="466" t="s">
        <v>711</v>
      </c>
      <c r="P2217" s="176"/>
      <c r="Q2217" s="497"/>
      <c r="R2217" s="496"/>
      <c r="S2217" s="2"/>
      <c r="T2217" s="2"/>
      <c r="U2217" s="2"/>
      <c r="V2217" s="2"/>
    </row>
    <row r="2218" spans="1:22" s="8" customFormat="1" ht="17.25" thickBot="1" x14ac:dyDescent="0.3">
      <c r="A2218" s="1066" t="s">
        <v>628</v>
      </c>
      <c r="B2218" s="1066"/>
      <c r="C2218" s="342"/>
      <c r="D2218" s="945">
        <f>SUM(D2216:D2217)</f>
        <v>3950242.15</v>
      </c>
      <c r="E2218" s="942"/>
      <c r="F2218" s="943"/>
      <c r="G2218" s="945">
        <f>SUM(G2216:G2217)</f>
        <v>4091653.6916</v>
      </c>
      <c r="H2218" s="941"/>
      <c r="I2218" s="172"/>
      <c r="J2218" s="952">
        <f>SUM(J2216:J2217)</f>
        <v>3936261.08</v>
      </c>
      <c r="K2218" s="945">
        <f>SUM(K2216:K2217)</f>
        <v>3936261.08</v>
      </c>
      <c r="L2218" s="340"/>
      <c r="M2218" s="945"/>
      <c r="N2218" s="878">
        <f>AVERAGE(N2216:N2217)</f>
        <v>1</v>
      </c>
      <c r="O2218" s="694"/>
      <c r="P2218" s="176"/>
      <c r="Q2218" s="497"/>
      <c r="R2218" s="496"/>
      <c r="S2218" s="2"/>
      <c r="T2218" s="2"/>
      <c r="U2218" s="2"/>
      <c r="V2218" s="2"/>
    </row>
    <row r="2219" spans="1:22" s="6" customFormat="1" ht="31.5" customHeight="1" x14ac:dyDescent="0.25">
      <c r="A2219" s="1065">
        <v>127</v>
      </c>
      <c r="B2219" s="1064" t="s">
        <v>475</v>
      </c>
      <c r="C2219" s="281" t="s">
        <v>500</v>
      </c>
      <c r="D2219" s="208">
        <v>10554553.66</v>
      </c>
      <c r="E2219" s="948" t="s">
        <v>937</v>
      </c>
      <c r="F2219" s="947" t="s">
        <v>661</v>
      </c>
      <c r="G2219" s="208">
        <v>10034830.92</v>
      </c>
      <c r="H2219" s="950">
        <v>42580</v>
      </c>
      <c r="I2219" s="950">
        <v>42597</v>
      </c>
      <c r="J2219" s="947">
        <v>10554553.66</v>
      </c>
      <c r="K2219" s="947">
        <v>10554553.66</v>
      </c>
      <c r="L2219" s="254"/>
      <c r="M2219" s="255"/>
      <c r="N2219" s="909">
        <v>1</v>
      </c>
      <c r="O2219" s="699"/>
      <c r="P2219" s="176"/>
      <c r="Q2219" s="497"/>
      <c r="R2219" s="620"/>
      <c r="S2219" s="9"/>
      <c r="T2219" s="9"/>
      <c r="U2219" s="9"/>
      <c r="V2219" s="9"/>
    </row>
    <row r="2220" spans="1:22" s="8" customFormat="1" ht="49.5" x14ac:dyDescent="0.25">
      <c r="A2220" s="1065"/>
      <c r="B2220" s="1064"/>
      <c r="C2220" s="356" t="s">
        <v>37</v>
      </c>
      <c r="D2220" s="357">
        <v>104025.24</v>
      </c>
      <c r="E2220" s="690" t="s">
        <v>618</v>
      </c>
      <c r="F2220" s="361" t="s">
        <v>614</v>
      </c>
      <c r="G2220" s="357">
        <f>88156.98*1.18</f>
        <v>104025.23639999999</v>
      </c>
      <c r="H2220" s="360">
        <v>42451</v>
      </c>
      <c r="I2220" s="360">
        <v>42502</v>
      </c>
      <c r="J2220" s="361">
        <v>88156.98</v>
      </c>
      <c r="K2220" s="361">
        <v>88156.98</v>
      </c>
      <c r="L2220" s="360">
        <v>42724</v>
      </c>
      <c r="M2220" s="361"/>
      <c r="N2220" s="539"/>
      <c r="O2220" s="466" t="s">
        <v>734</v>
      </c>
      <c r="P2220" s="176"/>
      <c r="Q2220" s="497"/>
      <c r="R2220" s="496"/>
      <c r="S2220" s="2"/>
      <c r="T2220" s="2"/>
      <c r="U2220" s="2"/>
      <c r="V2220" s="2"/>
    </row>
    <row r="2221" spans="1:22" s="8" customFormat="1" ht="17.25" thickBot="1" x14ac:dyDescent="0.3">
      <c r="A2221" s="1066" t="s">
        <v>628</v>
      </c>
      <c r="B2221" s="1066"/>
      <c r="C2221" s="342"/>
      <c r="D2221" s="945">
        <f>SUM(D2219:D2220)</f>
        <v>10658578.9</v>
      </c>
      <c r="E2221" s="942"/>
      <c r="F2221" s="943"/>
      <c r="G2221" s="945">
        <f>SUM(G2219:G2220)</f>
        <v>10138856.156400001</v>
      </c>
      <c r="H2221" s="941"/>
      <c r="I2221" s="172"/>
      <c r="J2221" s="952">
        <f>SUM(J2219:J2220)</f>
        <v>10642710.640000001</v>
      </c>
      <c r="K2221" s="945">
        <f>SUM(K2219:K2220)</f>
        <v>10642710.640000001</v>
      </c>
      <c r="L2221" s="340"/>
      <c r="M2221" s="945"/>
      <c r="N2221" s="878">
        <f>AVERAGE(N2219:N2220)</f>
        <v>1</v>
      </c>
      <c r="O2221" s="707"/>
      <c r="P2221" s="176"/>
      <c r="Q2221" s="497"/>
      <c r="R2221" s="496"/>
      <c r="S2221" s="2"/>
      <c r="T2221" s="2"/>
      <c r="U2221" s="2"/>
      <c r="V2221" s="2"/>
    </row>
    <row r="2222" spans="1:22" s="6" customFormat="1" ht="31.5" customHeight="1" x14ac:dyDescent="0.25">
      <c r="A2222" s="1065">
        <v>128</v>
      </c>
      <c r="B2222" s="1064" t="s">
        <v>476</v>
      </c>
      <c r="C2222" s="281" t="s">
        <v>500</v>
      </c>
      <c r="D2222" s="208">
        <v>10910499.48</v>
      </c>
      <c r="E2222" s="948" t="s">
        <v>884</v>
      </c>
      <c r="F2222" s="947" t="s">
        <v>661</v>
      </c>
      <c r="G2222" s="208">
        <v>9919312.4600000009</v>
      </c>
      <c r="H2222" s="950">
        <v>42579</v>
      </c>
      <c r="I2222" s="950">
        <v>42605</v>
      </c>
      <c r="J2222" s="947">
        <v>10910499.48</v>
      </c>
      <c r="K2222" s="947">
        <v>10910499.48</v>
      </c>
      <c r="L2222" s="254"/>
      <c r="M2222" s="255"/>
      <c r="N2222" s="909">
        <v>1</v>
      </c>
      <c r="O2222" s="699"/>
      <c r="P2222" s="176"/>
      <c r="Q2222" s="497"/>
      <c r="R2222" s="620"/>
      <c r="S2222" s="9"/>
      <c r="T2222" s="9"/>
      <c r="U2222" s="9"/>
      <c r="V2222" s="9"/>
    </row>
    <row r="2223" spans="1:22" s="8" customFormat="1" ht="49.5" x14ac:dyDescent="0.25">
      <c r="A2223" s="1065"/>
      <c r="B2223" s="1064"/>
      <c r="C2223" s="356" t="s">
        <v>37</v>
      </c>
      <c r="D2223" s="357">
        <v>104202.26</v>
      </c>
      <c r="E2223" s="690" t="s">
        <v>618</v>
      </c>
      <c r="F2223" s="361" t="s">
        <v>614</v>
      </c>
      <c r="G2223" s="357">
        <f>88307*1.18</f>
        <v>104202.26</v>
      </c>
      <c r="H2223" s="360">
        <v>42451</v>
      </c>
      <c r="I2223" s="360">
        <v>42482</v>
      </c>
      <c r="J2223" s="361">
        <v>88307</v>
      </c>
      <c r="K2223" s="361">
        <v>88307</v>
      </c>
      <c r="L2223" s="360">
        <v>42724</v>
      </c>
      <c r="M2223" s="361"/>
      <c r="N2223" s="539"/>
      <c r="O2223" s="466" t="s">
        <v>734</v>
      </c>
      <c r="P2223" s="176"/>
      <c r="Q2223" s="497"/>
      <c r="R2223" s="496"/>
      <c r="S2223" s="2"/>
      <c r="T2223" s="2"/>
      <c r="U2223" s="2"/>
      <c r="V2223" s="2"/>
    </row>
    <row r="2224" spans="1:22" s="8" customFormat="1" ht="17.25" thickBot="1" x14ac:dyDescent="0.3">
      <c r="A2224" s="1066" t="s">
        <v>628</v>
      </c>
      <c r="B2224" s="1066"/>
      <c r="C2224" s="342"/>
      <c r="D2224" s="945">
        <f>SUM(D2222:D2223)</f>
        <v>11014701.74</v>
      </c>
      <c r="E2224" s="942"/>
      <c r="F2224" s="943"/>
      <c r="G2224" s="945">
        <f>SUM(G2222:G2223)</f>
        <v>10023514.720000001</v>
      </c>
      <c r="H2224" s="941"/>
      <c r="I2224" s="172"/>
      <c r="J2224" s="952">
        <f>SUM(J2222:J2223)</f>
        <v>10998806.48</v>
      </c>
      <c r="K2224" s="945">
        <f>SUM(K2222:K2223)</f>
        <v>10998806.48</v>
      </c>
      <c r="L2224" s="340"/>
      <c r="M2224" s="945"/>
      <c r="N2224" s="878">
        <f>AVERAGE(N2222:N2223)</f>
        <v>1</v>
      </c>
      <c r="O2224" s="694"/>
      <c r="P2224" s="176"/>
      <c r="Q2224" s="497"/>
      <c r="R2224" s="496"/>
      <c r="S2224" s="2"/>
      <c r="T2224" s="2"/>
      <c r="U2224" s="2"/>
      <c r="V2224" s="2"/>
    </row>
    <row r="2225" spans="1:22" s="6" customFormat="1" ht="31.5" customHeight="1" x14ac:dyDescent="0.25">
      <c r="A2225" s="1065">
        <v>129</v>
      </c>
      <c r="B2225" s="1064" t="s">
        <v>477</v>
      </c>
      <c r="C2225" s="281" t="s">
        <v>500</v>
      </c>
      <c r="D2225" s="208">
        <v>10747188.66</v>
      </c>
      <c r="E2225" s="948" t="s">
        <v>884</v>
      </c>
      <c r="F2225" s="947" t="s">
        <v>661</v>
      </c>
      <c r="G2225" s="208">
        <v>9798755.4000000004</v>
      </c>
      <c r="H2225" s="950">
        <v>42579</v>
      </c>
      <c r="I2225" s="950">
        <v>42605</v>
      </c>
      <c r="J2225" s="947">
        <v>10747188.66</v>
      </c>
      <c r="K2225" s="947">
        <v>10747188.66</v>
      </c>
      <c r="L2225" s="254"/>
      <c r="M2225" s="255"/>
      <c r="N2225" s="909">
        <v>1</v>
      </c>
      <c r="O2225" s="699"/>
      <c r="P2225" s="176"/>
      <c r="Q2225" s="497"/>
      <c r="R2225" s="620"/>
      <c r="S2225" s="9"/>
      <c r="T2225" s="9"/>
      <c r="U2225" s="9"/>
      <c r="V2225" s="9"/>
    </row>
    <row r="2226" spans="1:22" s="8" customFormat="1" ht="49.5" x14ac:dyDescent="0.25">
      <c r="A2226" s="1065"/>
      <c r="B2226" s="1064"/>
      <c r="C2226" s="356" t="s">
        <v>37</v>
      </c>
      <c r="D2226" s="357">
        <v>104652.83</v>
      </c>
      <c r="E2226" s="690" t="s">
        <v>618</v>
      </c>
      <c r="F2226" s="361" t="s">
        <v>614</v>
      </c>
      <c r="G2226" s="357">
        <f>88688.84*1.18</f>
        <v>104652.83119999999</v>
      </c>
      <c r="H2226" s="360">
        <v>42451</v>
      </c>
      <c r="I2226" s="360">
        <v>42482</v>
      </c>
      <c r="J2226" s="393">
        <v>88688.84</v>
      </c>
      <c r="K2226" s="393">
        <v>88688.84</v>
      </c>
      <c r="L2226" s="360">
        <v>42724</v>
      </c>
      <c r="M2226" s="361"/>
      <c r="N2226" s="539"/>
      <c r="O2226" s="466" t="s">
        <v>734</v>
      </c>
      <c r="P2226" s="176"/>
      <c r="Q2226" s="497"/>
      <c r="R2226" s="496"/>
      <c r="S2226" s="2"/>
      <c r="T2226" s="2"/>
      <c r="U2226" s="2"/>
      <c r="V2226" s="2"/>
    </row>
    <row r="2227" spans="1:22" s="8" customFormat="1" ht="17.25" thickBot="1" x14ac:dyDescent="0.3">
      <c r="A2227" s="1066" t="s">
        <v>628</v>
      </c>
      <c r="B2227" s="1066"/>
      <c r="C2227" s="342"/>
      <c r="D2227" s="945">
        <f>SUM(D2225:D2226)</f>
        <v>10851841.49</v>
      </c>
      <c r="E2227" s="942"/>
      <c r="F2227" s="943"/>
      <c r="G2227" s="945">
        <f>SUM(G2225:G2226)</f>
        <v>9903408.2312000003</v>
      </c>
      <c r="H2227" s="941"/>
      <c r="I2227" s="172"/>
      <c r="J2227" s="952">
        <f>SUM(J2225:J2226)</f>
        <v>10835877.5</v>
      </c>
      <c r="K2227" s="945">
        <f>SUM(K2225:K2226)</f>
        <v>10835877.5</v>
      </c>
      <c r="L2227" s="340"/>
      <c r="M2227" s="945"/>
      <c r="N2227" s="878">
        <f>AVERAGE(N2225:N2226)</f>
        <v>1</v>
      </c>
      <c r="O2227" s="694"/>
      <c r="P2227" s="176"/>
      <c r="Q2227" s="497"/>
      <c r="R2227" s="496"/>
      <c r="S2227" s="2"/>
      <c r="T2227" s="2"/>
      <c r="U2227" s="2"/>
      <c r="V2227" s="2"/>
    </row>
    <row r="2228" spans="1:22" s="6" customFormat="1" ht="33" x14ac:dyDescent="0.25">
      <c r="A2228" s="1065">
        <v>130</v>
      </c>
      <c r="B2228" s="1064" t="s">
        <v>478</v>
      </c>
      <c r="C2228" s="281" t="s">
        <v>500</v>
      </c>
      <c r="D2228" s="208">
        <v>11618269.380000001</v>
      </c>
      <c r="E2228" s="948" t="s">
        <v>1046</v>
      </c>
      <c r="F2228" s="947" t="s">
        <v>670</v>
      </c>
      <c r="G2228" s="208">
        <v>11618269.380000001</v>
      </c>
      <c r="H2228" s="950">
        <v>42674</v>
      </c>
      <c r="I2228" s="950">
        <v>42746</v>
      </c>
      <c r="J2228" s="947">
        <v>11033363.439999999</v>
      </c>
      <c r="K2228" s="255"/>
      <c r="L2228" s="254"/>
      <c r="M2228" s="255"/>
      <c r="N2228" s="917">
        <v>0.7</v>
      </c>
      <c r="O2228" s="699"/>
      <c r="P2228" s="176"/>
      <c r="Q2228" s="497"/>
      <c r="R2228" s="620"/>
      <c r="S2228" s="9"/>
      <c r="T2228" s="9"/>
      <c r="U2228" s="9"/>
      <c r="V2228" s="9"/>
    </row>
    <row r="2229" spans="1:22" s="8" customFormat="1" ht="49.5" x14ac:dyDescent="0.25">
      <c r="A2229" s="1065"/>
      <c r="B2229" s="1064"/>
      <c r="C2229" s="356" t="s">
        <v>37</v>
      </c>
      <c r="D2229" s="357">
        <v>117497.38</v>
      </c>
      <c r="E2229" s="690" t="s">
        <v>618</v>
      </c>
      <c r="F2229" s="361" t="s">
        <v>614</v>
      </c>
      <c r="G2229" s="357">
        <f>99574.05*1.18</f>
        <v>117497.379</v>
      </c>
      <c r="H2229" s="360">
        <v>42451</v>
      </c>
      <c r="I2229" s="360">
        <v>42563</v>
      </c>
      <c r="J2229" s="361">
        <v>99574.05</v>
      </c>
      <c r="K2229" s="361">
        <v>99574.05</v>
      </c>
      <c r="L2229" s="360">
        <v>42724</v>
      </c>
      <c r="M2229" s="361"/>
      <c r="N2229" s="539"/>
      <c r="O2229" s="466" t="s">
        <v>725</v>
      </c>
      <c r="P2229" s="176"/>
      <c r="Q2229" s="497"/>
      <c r="R2229" s="496"/>
      <c r="S2229" s="2"/>
      <c r="T2229" s="2"/>
      <c r="U2229" s="2"/>
      <c r="V2229" s="2"/>
    </row>
    <row r="2230" spans="1:22" s="11" customFormat="1" ht="33" outlineLevel="1" x14ac:dyDescent="0.25">
      <c r="A2230" s="1065"/>
      <c r="B2230" s="1064"/>
      <c r="C2230" s="549" t="s">
        <v>1095</v>
      </c>
      <c r="D2230" s="169">
        <v>134117.185252105</v>
      </c>
      <c r="E2230" s="942"/>
      <c r="F2230" s="943"/>
      <c r="G2230" s="169"/>
      <c r="H2230" s="941"/>
      <c r="I2230" s="941"/>
      <c r="J2230" s="943"/>
      <c r="K2230" s="943"/>
      <c r="L2230" s="941"/>
      <c r="M2230" s="943"/>
      <c r="N2230" s="915"/>
      <c r="O2230" s="287"/>
      <c r="P2230" s="176"/>
      <c r="Q2230" s="446"/>
      <c r="R2230" s="335"/>
      <c r="S2230" s="2"/>
      <c r="T2230" s="2"/>
      <c r="U2230" s="2"/>
      <c r="V2230" s="2"/>
    </row>
    <row r="2231" spans="1:22" s="8" customFormat="1" ht="17.25" thickBot="1" x14ac:dyDescent="0.3">
      <c r="A2231" s="1066" t="s">
        <v>628</v>
      </c>
      <c r="B2231" s="1066"/>
      <c r="C2231" s="342"/>
      <c r="D2231" s="945">
        <f>SUM(D2228:D2230)</f>
        <v>11869883.945252107</v>
      </c>
      <c r="E2231" s="942"/>
      <c r="F2231" s="943"/>
      <c r="G2231" s="945">
        <f>SUM(G2228:G2229)</f>
        <v>11735766.759000001</v>
      </c>
      <c r="H2231" s="941"/>
      <c r="I2231" s="172"/>
      <c r="J2231" s="952">
        <f>SUM(J2228:J2229)</f>
        <v>11132937.49</v>
      </c>
      <c r="K2231" s="945">
        <f>SUM(K2228:K2229)</f>
        <v>99574.05</v>
      </c>
      <c r="L2231" s="340"/>
      <c r="M2231" s="945"/>
      <c r="N2231" s="878">
        <f>AVERAGE(N2228:N2229)</f>
        <v>0.7</v>
      </c>
      <c r="O2231" s="694"/>
      <c r="P2231" s="176"/>
      <c r="Q2231" s="497"/>
      <c r="R2231" s="496"/>
      <c r="S2231" s="2"/>
      <c r="T2231" s="2"/>
      <c r="U2231" s="2"/>
      <c r="V2231" s="2"/>
    </row>
    <row r="2232" spans="1:22" s="6" customFormat="1" ht="31.5" customHeight="1" x14ac:dyDescent="0.25">
      <c r="A2232" s="1065">
        <v>131</v>
      </c>
      <c r="B2232" s="1064" t="s">
        <v>479</v>
      </c>
      <c r="C2232" s="281" t="s">
        <v>500</v>
      </c>
      <c r="D2232" s="208">
        <v>12818232.619999999</v>
      </c>
      <c r="E2232" s="948" t="s">
        <v>1046</v>
      </c>
      <c r="F2232" s="947" t="s">
        <v>670</v>
      </c>
      <c r="G2232" s="208">
        <v>12818232.619999999</v>
      </c>
      <c r="H2232" s="950">
        <v>42674</v>
      </c>
      <c r="I2232" s="950">
        <v>42744</v>
      </c>
      <c r="J2232" s="947">
        <v>10802825.66</v>
      </c>
      <c r="K2232" s="947">
        <v>10802825.66</v>
      </c>
      <c r="L2232" s="950">
        <v>42762</v>
      </c>
      <c r="M2232" s="255"/>
      <c r="N2232" s="917">
        <v>0.55000000000000004</v>
      </c>
      <c r="O2232" s="699"/>
      <c r="P2232" s="176"/>
      <c r="Q2232" s="497"/>
      <c r="R2232" s="620"/>
      <c r="S2232" s="9"/>
      <c r="T2232" s="9"/>
      <c r="U2232" s="9"/>
      <c r="V2232" s="9"/>
    </row>
    <row r="2233" spans="1:22" s="8" customFormat="1" ht="49.5" x14ac:dyDescent="0.25">
      <c r="A2233" s="1065"/>
      <c r="B2233" s="1064"/>
      <c r="C2233" s="356" t="s">
        <v>37</v>
      </c>
      <c r="D2233" s="357">
        <v>105042.66</v>
      </c>
      <c r="E2233" s="690" t="s">
        <v>618</v>
      </c>
      <c r="F2233" s="361" t="s">
        <v>614</v>
      </c>
      <c r="G2233" s="357">
        <f>89019.2*1.18</f>
        <v>105042.65599999999</v>
      </c>
      <c r="H2233" s="360">
        <v>42451</v>
      </c>
      <c r="I2233" s="360">
        <v>42563</v>
      </c>
      <c r="J2233" s="361">
        <v>89019.199999999997</v>
      </c>
      <c r="K2233" s="361">
        <v>89019.199999999997</v>
      </c>
      <c r="L2233" s="360">
        <v>42724</v>
      </c>
      <c r="M2233" s="361"/>
      <c r="N2233" s="539"/>
      <c r="O2233" s="466" t="s">
        <v>725</v>
      </c>
      <c r="P2233" s="176"/>
      <c r="Q2233" s="497"/>
      <c r="R2233" s="496"/>
      <c r="S2233" s="2"/>
      <c r="T2233" s="2"/>
      <c r="U2233" s="2"/>
      <c r="V2233" s="2"/>
    </row>
    <row r="2234" spans="1:22" s="11" customFormat="1" ht="33" outlineLevel="1" x14ac:dyDescent="0.25">
      <c r="A2234" s="1065"/>
      <c r="B2234" s="1064"/>
      <c r="C2234" s="549" t="s">
        <v>1095</v>
      </c>
      <c r="D2234" s="169">
        <v>116258.63165843701</v>
      </c>
      <c r="E2234" s="942"/>
      <c r="F2234" s="943"/>
      <c r="G2234" s="169"/>
      <c r="H2234" s="941"/>
      <c r="I2234" s="941"/>
      <c r="J2234" s="943"/>
      <c r="K2234" s="943"/>
      <c r="L2234" s="941"/>
      <c r="M2234" s="943"/>
      <c r="N2234" s="915"/>
      <c r="O2234" s="287"/>
      <c r="P2234" s="176"/>
      <c r="Q2234" s="446"/>
      <c r="R2234" s="335"/>
      <c r="S2234" s="2"/>
      <c r="T2234" s="2"/>
      <c r="U2234" s="2"/>
      <c r="V2234" s="2"/>
    </row>
    <row r="2235" spans="1:22" s="8" customFormat="1" ht="17.25" thickBot="1" x14ac:dyDescent="0.3">
      <c r="A2235" s="1066" t="s">
        <v>628</v>
      </c>
      <c r="B2235" s="1066"/>
      <c r="C2235" s="342"/>
      <c r="D2235" s="945">
        <f>SUM(D2232:D2234)</f>
        <v>13039533.911658436</v>
      </c>
      <c r="E2235" s="942"/>
      <c r="F2235" s="943"/>
      <c r="G2235" s="945">
        <f>SUM(G2232:G2233)</f>
        <v>12923275.275999999</v>
      </c>
      <c r="H2235" s="941"/>
      <c r="I2235" s="172"/>
      <c r="J2235" s="952">
        <f>SUM(J2232:J2233)</f>
        <v>10891844.859999999</v>
      </c>
      <c r="K2235" s="945">
        <f>SUM(K2232:K2233)</f>
        <v>10891844.859999999</v>
      </c>
      <c r="L2235" s="340"/>
      <c r="M2235" s="945"/>
      <c r="N2235" s="878">
        <f>AVERAGE(N2232:N2233)</f>
        <v>0.55000000000000004</v>
      </c>
      <c r="O2235" s="707"/>
      <c r="P2235" s="176"/>
      <c r="Q2235" s="497"/>
      <c r="R2235" s="496"/>
      <c r="S2235" s="2"/>
      <c r="T2235" s="2"/>
      <c r="U2235" s="2"/>
      <c r="V2235" s="2"/>
    </row>
    <row r="2236" spans="1:22" s="6" customFormat="1" ht="49.5" x14ac:dyDescent="0.25">
      <c r="A2236" s="1065">
        <v>132</v>
      </c>
      <c r="B2236" s="1064" t="s">
        <v>480</v>
      </c>
      <c r="C2236" s="281" t="s">
        <v>500</v>
      </c>
      <c r="D2236" s="208">
        <v>5648917.2400000002</v>
      </c>
      <c r="E2236" s="948" t="s">
        <v>1012</v>
      </c>
      <c r="F2236" s="947" t="s">
        <v>663</v>
      </c>
      <c r="G2236" s="208">
        <v>7117221.9199999999</v>
      </c>
      <c r="H2236" s="950">
        <v>42643</v>
      </c>
      <c r="I2236" s="950">
        <v>42653</v>
      </c>
      <c r="J2236" s="947">
        <v>5648917.2400000002</v>
      </c>
      <c r="K2236" s="947">
        <v>5648917.2400000002</v>
      </c>
      <c r="L2236" s="254"/>
      <c r="M2236" s="255"/>
      <c r="N2236" s="909">
        <v>1</v>
      </c>
      <c r="O2236" s="699"/>
      <c r="P2236" s="176"/>
      <c r="Q2236" s="280" t="s">
        <v>1118</v>
      </c>
      <c r="R2236" s="620"/>
      <c r="S2236" s="9"/>
      <c r="T2236" s="9"/>
      <c r="U2236" s="9"/>
      <c r="V2236" s="9"/>
    </row>
    <row r="2237" spans="1:22" s="8" customFormat="1" ht="49.5" x14ac:dyDescent="0.25">
      <c r="A2237" s="1065"/>
      <c r="B2237" s="1064"/>
      <c r="C2237" s="356" t="s">
        <v>37</v>
      </c>
      <c r="D2237" s="357">
        <v>95008.76</v>
      </c>
      <c r="E2237" s="690" t="s">
        <v>618</v>
      </c>
      <c r="F2237" s="361" t="s">
        <v>614</v>
      </c>
      <c r="G2237" s="357">
        <f>80515.9*1.18</f>
        <v>95008.761999999988</v>
      </c>
      <c r="H2237" s="360">
        <v>42451</v>
      </c>
      <c r="I2237" s="360">
        <v>42563</v>
      </c>
      <c r="J2237" s="361">
        <v>80515.899999999994</v>
      </c>
      <c r="K2237" s="361">
        <v>80515.899999999994</v>
      </c>
      <c r="L2237" s="360">
        <v>42724</v>
      </c>
      <c r="M2237" s="361"/>
      <c r="N2237" s="539"/>
      <c r="O2237" s="466" t="s">
        <v>725</v>
      </c>
      <c r="P2237" s="176"/>
      <c r="Q2237" s="497"/>
      <c r="R2237" s="496"/>
      <c r="S2237" s="2"/>
      <c r="T2237" s="2"/>
      <c r="U2237" s="2"/>
      <c r="V2237" s="2"/>
    </row>
    <row r="2238" spans="1:22" s="8" customFormat="1" ht="17.25" thickBot="1" x14ac:dyDescent="0.3">
      <c r="A2238" s="1066" t="s">
        <v>628</v>
      </c>
      <c r="B2238" s="1066"/>
      <c r="C2238" s="342"/>
      <c r="D2238" s="945">
        <f>SUM(D2236:D2237)</f>
        <v>5743926</v>
      </c>
      <c r="E2238" s="942"/>
      <c r="F2238" s="943"/>
      <c r="G2238" s="945">
        <f>SUM(G2236:G2237)</f>
        <v>7212230.682</v>
      </c>
      <c r="H2238" s="941"/>
      <c r="I2238" s="172"/>
      <c r="J2238" s="952">
        <f>SUM(J2236:J2237)</f>
        <v>5729433.1400000006</v>
      </c>
      <c r="K2238" s="945">
        <f>SUM(K2236:K2237)</f>
        <v>5729433.1400000006</v>
      </c>
      <c r="L2238" s="340"/>
      <c r="M2238" s="945"/>
      <c r="N2238" s="878">
        <f>AVERAGE(N2236:N2237)</f>
        <v>1</v>
      </c>
      <c r="O2238" s="694"/>
      <c r="P2238" s="176"/>
      <c r="Q2238" s="497"/>
      <c r="R2238" s="496"/>
      <c r="S2238" s="2"/>
      <c r="T2238" s="2"/>
      <c r="U2238" s="2"/>
      <c r="V2238" s="2"/>
    </row>
    <row r="2239" spans="1:22" s="76" customFormat="1" ht="33" x14ac:dyDescent="0.25">
      <c r="A2239" s="1065">
        <v>133</v>
      </c>
      <c r="B2239" s="1064" t="s">
        <v>481</v>
      </c>
      <c r="C2239" s="281" t="s">
        <v>500</v>
      </c>
      <c r="D2239" s="208">
        <v>11909757.699999999</v>
      </c>
      <c r="E2239" s="948" t="s">
        <v>1046</v>
      </c>
      <c r="F2239" s="947" t="s">
        <v>670</v>
      </c>
      <c r="G2239" s="208">
        <v>11909757.699999999</v>
      </c>
      <c r="H2239" s="950">
        <v>42674</v>
      </c>
      <c r="I2239" s="950">
        <v>42727</v>
      </c>
      <c r="J2239" s="947">
        <v>10899293.02</v>
      </c>
      <c r="K2239" s="947">
        <v>10899293.02</v>
      </c>
      <c r="L2239" s="950">
        <v>42732</v>
      </c>
      <c r="M2239" s="255"/>
      <c r="N2239" s="909">
        <v>0.85</v>
      </c>
      <c r="O2239" s="718"/>
      <c r="P2239" s="457"/>
      <c r="Q2239" s="622"/>
      <c r="R2239" s="623"/>
      <c r="S2239" s="72"/>
      <c r="T2239" s="72"/>
      <c r="U2239" s="72"/>
      <c r="V2239" s="72"/>
    </row>
    <row r="2240" spans="1:22" s="8" customFormat="1" ht="49.5" x14ac:dyDescent="0.25">
      <c r="A2240" s="1065"/>
      <c r="B2240" s="1064"/>
      <c r="C2240" s="356" t="s">
        <v>37</v>
      </c>
      <c r="D2240" s="357">
        <v>109605.2</v>
      </c>
      <c r="E2240" s="690" t="s">
        <v>618</v>
      </c>
      <c r="F2240" s="361" t="s">
        <v>614</v>
      </c>
      <c r="G2240" s="357">
        <f>92885.76*1.18</f>
        <v>109605.19679999999</v>
      </c>
      <c r="H2240" s="360">
        <v>42451</v>
      </c>
      <c r="I2240" s="360">
        <v>42563</v>
      </c>
      <c r="J2240" s="361">
        <v>92885.759999999995</v>
      </c>
      <c r="K2240" s="361">
        <v>92885.759999999995</v>
      </c>
      <c r="L2240" s="360">
        <v>42724</v>
      </c>
      <c r="M2240" s="361"/>
      <c r="N2240" s="539"/>
      <c r="O2240" s="466" t="s">
        <v>725</v>
      </c>
      <c r="P2240" s="176"/>
      <c r="Q2240" s="497"/>
      <c r="R2240" s="496"/>
      <c r="S2240" s="2"/>
      <c r="T2240" s="2"/>
      <c r="U2240" s="2"/>
      <c r="V2240" s="2"/>
    </row>
    <row r="2241" spans="1:22" s="11" customFormat="1" ht="33" outlineLevel="1" x14ac:dyDescent="0.25">
      <c r="A2241" s="1065"/>
      <c r="B2241" s="1064"/>
      <c r="C2241" s="549" t="s">
        <v>1095</v>
      </c>
      <c r="D2241" s="169">
        <v>94008.762736306395</v>
      </c>
      <c r="E2241" s="942"/>
      <c r="F2241" s="943"/>
      <c r="G2241" s="169"/>
      <c r="H2241" s="941"/>
      <c r="I2241" s="941"/>
      <c r="J2241" s="943"/>
      <c r="K2241" s="943"/>
      <c r="L2241" s="941"/>
      <c r="M2241" s="943"/>
      <c r="N2241" s="915"/>
      <c r="O2241" s="287"/>
      <c r="P2241" s="176"/>
      <c r="Q2241" s="446"/>
      <c r="R2241" s="335"/>
      <c r="S2241" s="2"/>
      <c r="T2241" s="2"/>
      <c r="U2241" s="2"/>
      <c r="V2241" s="2"/>
    </row>
    <row r="2242" spans="1:22" s="8" customFormat="1" ht="17.25" thickBot="1" x14ac:dyDescent="0.3">
      <c r="A2242" s="1066" t="s">
        <v>628</v>
      </c>
      <c r="B2242" s="1066"/>
      <c r="C2242" s="342"/>
      <c r="D2242" s="945">
        <f>SUM(D2239:D2241)</f>
        <v>12113371.662736304</v>
      </c>
      <c r="E2242" s="942"/>
      <c r="F2242" s="943"/>
      <c r="G2242" s="945">
        <f>SUM(G2239:G2240)</f>
        <v>12019362.896799998</v>
      </c>
      <c r="H2242" s="941"/>
      <c r="I2242" s="172"/>
      <c r="J2242" s="952">
        <f>SUM(J2239:J2240)</f>
        <v>10992178.779999999</v>
      </c>
      <c r="K2242" s="945">
        <f>SUM(K2239:K2240)</f>
        <v>10992178.779999999</v>
      </c>
      <c r="L2242" s="340"/>
      <c r="M2242" s="945"/>
      <c r="N2242" s="878">
        <f>AVERAGE(N2239:N2240)</f>
        <v>0.85</v>
      </c>
      <c r="O2242" s="694"/>
      <c r="P2242" s="176"/>
      <c r="Q2242" s="497"/>
      <c r="R2242" s="496"/>
      <c r="S2242" s="2"/>
      <c r="T2242" s="2"/>
      <c r="U2242" s="2"/>
      <c r="V2242" s="2"/>
    </row>
    <row r="2243" spans="1:22" s="6" customFormat="1" ht="33" x14ac:dyDescent="0.25">
      <c r="A2243" s="1065">
        <v>134</v>
      </c>
      <c r="B2243" s="1076" t="s">
        <v>482</v>
      </c>
      <c r="C2243" s="281" t="s">
        <v>500</v>
      </c>
      <c r="D2243" s="208">
        <v>8849277.8399999999</v>
      </c>
      <c r="E2243" s="948" t="s">
        <v>821</v>
      </c>
      <c r="F2243" s="947" t="s">
        <v>816</v>
      </c>
      <c r="G2243" s="208">
        <v>9999999</v>
      </c>
      <c r="H2243" s="950">
        <v>42532</v>
      </c>
      <c r="I2243" s="950">
        <v>42562</v>
      </c>
      <c r="J2243" s="947">
        <v>8849277.8399999999</v>
      </c>
      <c r="K2243" s="947">
        <v>8849277.8399999999</v>
      </c>
      <c r="L2243" s="254"/>
      <c r="M2243" s="255"/>
      <c r="N2243" s="909">
        <v>1</v>
      </c>
      <c r="O2243" s="699"/>
      <c r="P2243" s="176"/>
      <c r="Q2243" s="497"/>
      <c r="R2243" s="620"/>
      <c r="S2243" s="9"/>
      <c r="T2243" s="9"/>
      <c r="U2243" s="9"/>
      <c r="V2243" s="9"/>
    </row>
    <row r="2244" spans="1:22" s="8" customFormat="1" ht="49.5" x14ac:dyDescent="0.25">
      <c r="A2244" s="1065"/>
      <c r="B2244" s="1076"/>
      <c r="C2244" s="356" t="s">
        <v>37</v>
      </c>
      <c r="D2244" s="357">
        <v>97766.65</v>
      </c>
      <c r="E2244" s="690" t="s">
        <v>622</v>
      </c>
      <c r="F2244" s="361" t="s">
        <v>614</v>
      </c>
      <c r="G2244" s="357">
        <v>97766.65</v>
      </c>
      <c r="H2244" s="360">
        <v>42384</v>
      </c>
      <c r="I2244" s="360">
        <v>42443</v>
      </c>
      <c r="J2244" s="361">
        <v>82853.119999999995</v>
      </c>
      <c r="K2244" s="361">
        <v>82853.119999999995</v>
      </c>
      <c r="L2244" s="360" t="s">
        <v>1473</v>
      </c>
      <c r="M2244" s="361"/>
      <c r="N2244" s="539"/>
      <c r="O2244" s="466" t="s">
        <v>734</v>
      </c>
      <c r="P2244" s="176"/>
      <c r="Q2244" s="497"/>
      <c r="R2244" s="496"/>
      <c r="S2244" s="2"/>
      <c r="T2244" s="2"/>
      <c r="U2244" s="2"/>
      <c r="V2244" s="2"/>
    </row>
    <row r="2245" spans="1:22" s="8" customFormat="1" ht="17.25" thickBot="1" x14ac:dyDescent="0.3">
      <c r="A2245" s="1066" t="s">
        <v>628</v>
      </c>
      <c r="B2245" s="1066"/>
      <c r="C2245" s="342"/>
      <c r="D2245" s="945">
        <f>SUM(D2243:D2244)</f>
        <v>8947044.4900000002</v>
      </c>
      <c r="E2245" s="942"/>
      <c r="F2245" s="943"/>
      <c r="G2245" s="945">
        <f>SUM(G2243:G2244)</f>
        <v>10097765.65</v>
      </c>
      <c r="H2245" s="941"/>
      <c r="I2245" s="172"/>
      <c r="J2245" s="952">
        <f>SUM(J2243:J2244)</f>
        <v>8932130.959999999</v>
      </c>
      <c r="K2245" s="945">
        <f>SUM(K2243:K2244)</f>
        <v>8932130.959999999</v>
      </c>
      <c r="L2245" s="340"/>
      <c r="M2245" s="945"/>
      <c r="N2245" s="878">
        <f>AVERAGE(N2243:N2244)</f>
        <v>1</v>
      </c>
      <c r="O2245" s="694"/>
      <c r="P2245" s="176"/>
      <c r="Q2245" s="497"/>
      <c r="R2245" s="496"/>
      <c r="S2245" s="2"/>
      <c r="T2245" s="2"/>
      <c r="U2245" s="2"/>
      <c r="V2245" s="2"/>
    </row>
    <row r="2246" spans="1:22" s="6" customFormat="1" ht="33" x14ac:dyDescent="0.25">
      <c r="A2246" s="1065">
        <v>135</v>
      </c>
      <c r="B2246" s="1064" t="s">
        <v>483</v>
      </c>
      <c r="C2246" s="281" t="s">
        <v>500</v>
      </c>
      <c r="D2246" s="208">
        <v>4498449.38</v>
      </c>
      <c r="E2246" s="948" t="s">
        <v>1469</v>
      </c>
      <c r="F2246" s="947" t="s">
        <v>951</v>
      </c>
      <c r="G2246" s="208">
        <v>4454345.28</v>
      </c>
      <c r="H2246" s="950">
        <v>42681</v>
      </c>
      <c r="I2246" s="950">
        <v>42677</v>
      </c>
      <c r="J2246" s="947">
        <v>4498449.38</v>
      </c>
      <c r="K2246" s="947">
        <v>4498449.38</v>
      </c>
      <c r="L2246" s="950">
        <v>42696</v>
      </c>
      <c r="M2246" s="255"/>
      <c r="N2246" s="909">
        <v>1</v>
      </c>
      <c r="O2246" s="699"/>
      <c r="P2246" s="176"/>
      <c r="Q2246" s="497"/>
      <c r="R2246" s="620"/>
      <c r="S2246" s="9"/>
      <c r="T2246" s="9"/>
      <c r="U2246" s="9"/>
      <c r="V2246" s="9"/>
    </row>
    <row r="2247" spans="1:22" s="8" customFormat="1" ht="49.5" x14ac:dyDescent="0.25">
      <c r="A2247" s="1065"/>
      <c r="B2247" s="1064"/>
      <c r="C2247" s="356" t="s">
        <v>37</v>
      </c>
      <c r="D2247" s="357">
        <v>75472.02</v>
      </c>
      <c r="E2247" s="690" t="s">
        <v>618</v>
      </c>
      <c r="F2247" s="361" t="s">
        <v>614</v>
      </c>
      <c r="G2247" s="357">
        <f>63959.34*1.18</f>
        <v>75472.021199999988</v>
      </c>
      <c r="H2247" s="360">
        <v>42451</v>
      </c>
      <c r="I2247" s="360">
        <v>42614</v>
      </c>
      <c r="J2247" s="361">
        <v>63959.34</v>
      </c>
      <c r="K2247" s="361">
        <v>63959.34</v>
      </c>
      <c r="L2247" s="360">
        <v>42724</v>
      </c>
      <c r="M2247" s="361"/>
      <c r="N2247" s="539"/>
      <c r="O2247" s="466" t="s">
        <v>734</v>
      </c>
      <c r="P2247" s="176"/>
      <c r="Q2247" s="497"/>
      <c r="R2247" s="496"/>
      <c r="S2247" s="2"/>
      <c r="T2247" s="2"/>
      <c r="U2247" s="2"/>
      <c r="V2247" s="2"/>
    </row>
    <row r="2248" spans="1:22" s="8" customFormat="1" ht="17.25" thickBot="1" x14ac:dyDescent="0.3">
      <c r="A2248" s="1066" t="s">
        <v>628</v>
      </c>
      <c r="B2248" s="1066"/>
      <c r="C2248" s="342"/>
      <c r="D2248" s="945">
        <f>SUM(D2246:D2247)</f>
        <v>4573921.3999999994</v>
      </c>
      <c r="E2248" s="942"/>
      <c r="F2248" s="943"/>
      <c r="G2248" s="945">
        <f>SUM(G2246:G2247)</f>
        <v>4529817.3012000006</v>
      </c>
      <c r="H2248" s="941"/>
      <c r="I2248" s="172"/>
      <c r="J2248" s="952">
        <f>SUM(J2246:J2247)</f>
        <v>4562408.72</v>
      </c>
      <c r="K2248" s="945">
        <f>SUM(K2246:K2247)</f>
        <v>4562408.72</v>
      </c>
      <c r="L2248" s="340"/>
      <c r="M2248" s="945"/>
      <c r="N2248" s="878">
        <f>AVERAGE(N2246:N2247)</f>
        <v>1</v>
      </c>
      <c r="O2248" s="694"/>
      <c r="P2248" s="176"/>
      <c r="Q2248" s="497"/>
      <c r="R2248" s="496"/>
      <c r="S2248" s="2"/>
      <c r="T2248" s="2"/>
      <c r="U2248" s="2"/>
      <c r="V2248" s="2"/>
    </row>
    <row r="2249" spans="1:22" s="6" customFormat="1" ht="31.5" customHeight="1" x14ac:dyDescent="0.25">
      <c r="A2249" s="1065">
        <v>136</v>
      </c>
      <c r="B2249" s="1064" t="s">
        <v>484</v>
      </c>
      <c r="C2249" s="281" t="s">
        <v>500</v>
      </c>
      <c r="D2249" s="208">
        <v>5610059.1299999999</v>
      </c>
      <c r="E2249" s="948" t="s">
        <v>880</v>
      </c>
      <c r="F2249" s="947" t="s">
        <v>752</v>
      </c>
      <c r="G2249" s="208">
        <v>6064701.6399999997</v>
      </c>
      <c r="H2249" s="950">
        <v>42571</v>
      </c>
      <c r="I2249" s="950">
        <v>42655</v>
      </c>
      <c r="J2249" s="947">
        <v>5610059.1299999999</v>
      </c>
      <c r="K2249" s="947">
        <v>5610059.1299999999</v>
      </c>
      <c r="L2249" s="950">
        <v>42697</v>
      </c>
      <c r="M2249" s="255"/>
      <c r="N2249" s="909">
        <v>1</v>
      </c>
      <c r="O2249" s="699"/>
      <c r="P2249" s="176"/>
      <c r="Q2249" s="280" t="s">
        <v>1118</v>
      </c>
      <c r="R2249" s="620"/>
      <c r="S2249" s="9"/>
      <c r="T2249" s="9"/>
      <c r="U2249" s="9"/>
      <c r="V2249" s="9"/>
    </row>
    <row r="2250" spans="1:22" s="8" customFormat="1" ht="49.5" x14ac:dyDescent="0.25">
      <c r="A2250" s="1065"/>
      <c r="B2250" s="1064"/>
      <c r="C2250" s="356" t="s">
        <v>37</v>
      </c>
      <c r="D2250" s="357">
        <v>94519.96</v>
      </c>
      <c r="E2250" s="690" t="s">
        <v>618</v>
      </c>
      <c r="F2250" s="361" t="s">
        <v>614</v>
      </c>
      <c r="G2250" s="357">
        <f>80101.66*1.18</f>
        <v>94519.958799999993</v>
      </c>
      <c r="H2250" s="360">
        <v>42451</v>
      </c>
      <c r="I2250" s="360">
        <v>42482</v>
      </c>
      <c r="J2250" s="361">
        <v>80101.66</v>
      </c>
      <c r="K2250" s="361">
        <v>80101.66</v>
      </c>
      <c r="L2250" s="360">
        <v>42724</v>
      </c>
      <c r="M2250" s="361"/>
      <c r="N2250" s="539"/>
      <c r="O2250" s="466" t="s">
        <v>734</v>
      </c>
      <c r="P2250" s="176"/>
      <c r="Q2250" s="497"/>
      <c r="R2250" s="496"/>
      <c r="S2250" s="2"/>
      <c r="T2250" s="2"/>
      <c r="U2250" s="2"/>
      <c r="V2250" s="2"/>
    </row>
    <row r="2251" spans="1:22" s="8" customFormat="1" ht="17.25" thickBot="1" x14ac:dyDescent="0.3">
      <c r="A2251" s="1066" t="s">
        <v>628</v>
      </c>
      <c r="B2251" s="1066"/>
      <c r="C2251" s="342"/>
      <c r="D2251" s="945">
        <f>SUM(D2249:D2250)</f>
        <v>5704579.0899999999</v>
      </c>
      <c r="E2251" s="942"/>
      <c r="F2251" s="943"/>
      <c r="G2251" s="945">
        <f>SUM(G2249:G2250)</f>
        <v>6159221.5987999998</v>
      </c>
      <c r="H2251" s="941"/>
      <c r="I2251" s="172"/>
      <c r="J2251" s="952">
        <f>SUM(J2249:J2250)</f>
        <v>5690160.79</v>
      </c>
      <c r="K2251" s="945">
        <f>SUM(K2249:K2250)</f>
        <v>5690160.79</v>
      </c>
      <c r="L2251" s="340"/>
      <c r="M2251" s="945"/>
      <c r="N2251" s="878">
        <f>AVERAGE(N2249:N2250)</f>
        <v>1</v>
      </c>
      <c r="O2251" s="707"/>
      <c r="P2251" s="176"/>
      <c r="Q2251" s="497"/>
      <c r="R2251" s="496"/>
      <c r="S2251" s="2"/>
      <c r="T2251" s="2"/>
      <c r="U2251" s="2"/>
      <c r="V2251" s="2"/>
    </row>
    <row r="2252" spans="1:22" s="6" customFormat="1" ht="31.5" customHeight="1" x14ac:dyDescent="0.25">
      <c r="A2252" s="1065">
        <v>137</v>
      </c>
      <c r="B2252" s="1064" t="s">
        <v>485</v>
      </c>
      <c r="C2252" s="281" t="s">
        <v>500</v>
      </c>
      <c r="D2252" s="208">
        <v>3868968.3</v>
      </c>
      <c r="E2252" s="948" t="s">
        <v>880</v>
      </c>
      <c r="F2252" s="947" t="s">
        <v>752</v>
      </c>
      <c r="G2252" s="208">
        <v>3844243.65</v>
      </c>
      <c r="H2252" s="950">
        <v>42571</v>
      </c>
      <c r="I2252" s="950">
        <v>42655</v>
      </c>
      <c r="J2252" s="947">
        <v>3844243.65</v>
      </c>
      <c r="K2252" s="947">
        <v>3844243.65</v>
      </c>
      <c r="L2252" s="950">
        <v>42331</v>
      </c>
      <c r="M2252" s="255"/>
      <c r="N2252" s="909">
        <v>1</v>
      </c>
      <c r="O2252" s="699"/>
      <c r="P2252" s="176"/>
      <c r="Q2252" s="280" t="s">
        <v>1118</v>
      </c>
      <c r="R2252" s="620"/>
      <c r="S2252" s="9"/>
      <c r="T2252" s="9"/>
      <c r="U2252" s="9"/>
      <c r="V2252" s="9"/>
    </row>
    <row r="2253" spans="1:22" s="8" customFormat="1" ht="49.5" x14ac:dyDescent="0.25">
      <c r="A2253" s="1065"/>
      <c r="B2253" s="1064"/>
      <c r="C2253" s="356" t="s">
        <v>37</v>
      </c>
      <c r="D2253" s="357">
        <v>86194.96</v>
      </c>
      <c r="E2253" s="690" t="s">
        <v>618</v>
      </c>
      <c r="F2253" s="361" t="s">
        <v>614</v>
      </c>
      <c r="G2253" s="357">
        <f>73046.58*1.18</f>
        <v>86194.964399999997</v>
      </c>
      <c r="H2253" s="360">
        <v>42451</v>
      </c>
      <c r="I2253" s="360">
        <v>42482</v>
      </c>
      <c r="J2253" s="361">
        <v>73046.58</v>
      </c>
      <c r="K2253" s="361">
        <v>73046.58</v>
      </c>
      <c r="L2253" s="360">
        <v>42724</v>
      </c>
      <c r="M2253" s="361"/>
      <c r="N2253" s="539"/>
      <c r="O2253" s="466" t="s">
        <v>734</v>
      </c>
      <c r="P2253" s="176"/>
      <c r="Q2253" s="497"/>
      <c r="R2253" s="496"/>
      <c r="S2253" s="2"/>
      <c r="T2253" s="2"/>
      <c r="U2253" s="2"/>
      <c r="V2253" s="2"/>
    </row>
    <row r="2254" spans="1:22" s="8" customFormat="1" ht="17.25" thickBot="1" x14ac:dyDescent="0.3">
      <c r="A2254" s="1066" t="s">
        <v>628</v>
      </c>
      <c r="B2254" s="1066"/>
      <c r="C2254" s="342"/>
      <c r="D2254" s="945">
        <f>SUM(D2252:D2253)</f>
        <v>3955163.26</v>
      </c>
      <c r="E2254" s="942"/>
      <c r="F2254" s="943"/>
      <c r="G2254" s="945">
        <f>SUM(G2252:G2253)</f>
        <v>3930438.6143999998</v>
      </c>
      <c r="H2254" s="941"/>
      <c r="I2254" s="172"/>
      <c r="J2254" s="952">
        <f>SUM(J2252:J2253)</f>
        <v>3917290.23</v>
      </c>
      <c r="K2254" s="945">
        <f>SUM(K2252:K2253)</f>
        <v>3917290.23</v>
      </c>
      <c r="L2254" s="340"/>
      <c r="M2254" s="945"/>
      <c r="N2254" s="878">
        <f>AVERAGE(N2252:N2253)</f>
        <v>1</v>
      </c>
      <c r="O2254" s="694"/>
      <c r="P2254" s="176"/>
      <c r="Q2254" s="497"/>
      <c r="R2254" s="496"/>
      <c r="S2254" s="2"/>
      <c r="T2254" s="2"/>
      <c r="U2254" s="2"/>
      <c r="V2254" s="2"/>
    </row>
    <row r="2255" spans="1:22" s="6" customFormat="1" ht="31.5" customHeight="1" x14ac:dyDescent="0.25">
      <c r="A2255" s="1065">
        <v>138</v>
      </c>
      <c r="B2255" s="1064" t="s">
        <v>486</v>
      </c>
      <c r="C2255" s="281" t="s">
        <v>500</v>
      </c>
      <c r="D2255" s="208">
        <v>2665146.8199999998</v>
      </c>
      <c r="E2255" s="948" t="s">
        <v>1107</v>
      </c>
      <c r="F2255" s="947" t="s">
        <v>882</v>
      </c>
      <c r="G2255" s="208">
        <v>2665146.8199999998</v>
      </c>
      <c r="H2255" s="950">
        <v>42700</v>
      </c>
      <c r="I2255" s="950">
        <v>42692</v>
      </c>
      <c r="J2255" s="947">
        <v>2495146.58</v>
      </c>
      <c r="K2255" s="947">
        <v>2495146.58</v>
      </c>
      <c r="L2255" s="950">
        <v>42720</v>
      </c>
      <c r="M2255" s="255"/>
      <c r="N2255" s="909">
        <v>1</v>
      </c>
      <c r="O2255" s="699"/>
      <c r="P2255" s="176"/>
      <c r="Q2255" s="497"/>
      <c r="R2255" s="620"/>
      <c r="S2255" s="9"/>
      <c r="T2255" s="9"/>
      <c r="U2255" s="9"/>
      <c r="V2255" s="9"/>
    </row>
    <row r="2256" spans="1:22" s="8" customFormat="1" ht="49.5" x14ac:dyDescent="0.25">
      <c r="A2256" s="1065"/>
      <c r="B2256" s="1064"/>
      <c r="C2256" s="356" t="s">
        <v>37</v>
      </c>
      <c r="D2256" s="357">
        <v>107466.65</v>
      </c>
      <c r="E2256" s="690" t="s">
        <v>618</v>
      </c>
      <c r="F2256" s="361" t="s">
        <v>614</v>
      </c>
      <c r="G2256" s="357">
        <f>91073.43*1.18</f>
        <v>107466.64739999999</v>
      </c>
      <c r="H2256" s="360">
        <v>42451</v>
      </c>
      <c r="I2256" s="360">
        <v>42620</v>
      </c>
      <c r="J2256" s="361">
        <v>91073.43</v>
      </c>
      <c r="K2256" s="361">
        <v>91073.43</v>
      </c>
      <c r="L2256" s="360">
        <v>42724</v>
      </c>
      <c r="M2256" s="361"/>
      <c r="N2256" s="539"/>
      <c r="O2256" s="466" t="s">
        <v>688</v>
      </c>
      <c r="P2256" s="176"/>
      <c r="Q2256" s="497"/>
      <c r="R2256" s="496"/>
      <c r="S2256" s="2"/>
      <c r="T2256" s="2"/>
      <c r="U2256" s="2"/>
      <c r="V2256" s="2"/>
    </row>
    <row r="2257" spans="1:22" s="11" customFormat="1" ht="33" outlineLevel="1" x14ac:dyDescent="0.25">
      <c r="A2257" s="1065"/>
      <c r="B2257" s="1064"/>
      <c r="C2257" s="549" t="s">
        <v>1095</v>
      </c>
      <c r="D2257" s="169">
        <v>18850.580307930399</v>
      </c>
      <c r="E2257" s="942"/>
      <c r="F2257" s="943"/>
      <c r="G2257" s="169"/>
      <c r="H2257" s="941"/>
      <c r="I2257" s="941"/>
      <c r="J2257" s="943"/>
      <c r="K2257" s="943"/>
      <c r="L2257" s="941"/>
      <c r="M2257" s="943"/>
      <c r="N2257" s="915"/>
      <c r="O2257" s="287"/>
      <c r="P2257" s="176"/>
      <c r="Q2257" s="446"/>
      <c r="R2257" s="335"/>
      <c r="S2257" s="2"/>
      <c r="T2257" s="2"/>
      <c r="U2257" s="2"/>
      <c r="V2257" s="2"/>
    </row>
    <row r="2258" spans="1:22" s="8" customFormat="1" ht="17.25" thickBot="1" x14ac:dyDescent="0.3">
      <c r="A2258" s="1066" t="s">
        <v>628</v>
      </c>
      <c r="B2258" s="1066"/>
      <c r="C2258" s="342"/>
      <c r="D2258" s="945">
        <f>SUM(D2255:D2257)</f>
        <v>2791464.05030793</v>
      </c>
      <c r="E2258" s="942"/>
      <c r="F2258" s="943"/>
      <c r="G2258" s="945">
        <f>SUM(G2255:G2256)</f>
        <v>2772613.4674</v>
      </c>
      <c r="H2258" s="941"/>
      <c r="I2258" s="172"/>
      <c r="J2258" s="952">
        <f>SUM(J2255:J2256)</f>
        <v>2586220.0100000002</v>
      </c>
      <c r="K2258" s="945">
        <f>SUM(K2255:K2256)</f>
        <v>2586220.0100000002</v>
      </c>
      <c r="L2258" s="340"/>
      <c r="M2258" s="945"/>
      <c r="N2258" s="878">
        <f>AVERAGE(N2255:N2256)</f>
        <v>1</v>
      </c>
      <c r="O2258" s="707"/>
      <c r="P2258" s="176"/>
      <c r="Q2258" s="497"/>
      <c r="R2258" s="496"/>
      <c r="S2258" s="2"/>
      <c r="T2258" s="2"/>
      <c r="U2258" s="2"/>
      <c r="V2258" s="2"/>
    </row>
    <row r="2259" spans="1:22" s="6" customFormat="1" ht="38.25" customHeight="1" x14ac:dyDescent="0.25">
      <c r="A2259" s="1065">
        <v>139</v>
      </c>
      <c r="B2259" s="1064" t="s">
        <v>487</v>
      </c>
      <c r="C2259" s="281" t="s">
        <v>500</v>
      </c>
      <c r="D2259" s="208">
        <v>6555000</v>
      </c>
      <c r="E2259" s="974" t="s">
        <v>1014</v>
      </c>
      <c r="F2259" s="973" t="s">
        <v>816</v>
      </c>
      <c r="G2259" s="208">
        <v>12469823.460000001</v>
      </c>
      <c r="H2259" s="972">
        <v>42623</v>
      </c>
      <c r="I2259" s="972">
        <v>42772</v>
      </c>
      <c r="J2259" s="973">
        <v>5754220.4400000004</v>
      </c>
      <c r="K2259" s="255"/>
      <c r="L2259" s="254"/>
      <c r="M2259" s="255"/>
      <c r="N2259" s="914">
        <v>0.4</v>
      </c>
      <c r="O2259" s="699"/>
      <c r="P2259" s="176"/>
      <c r="Q2259" s="497" t="s">
        <v>1122</v>
      </c>
      <c r="R2259" s="620"/>
      <c r="S2259" s="9"/>
      <c r="T2259" s="9"/>
      <c r="U2259" s="9"/>
      <c r="V2259" s="9"/>
    </row>
    <row r="2260" spans="1:22" s="8" customFormat="1" ht="49.5" x14ac:dyDescent="0.25">
      <c r="A2260" s="1065"/>
      <c r="B2260" s="1064"/>
      <c r="C2260" s="356" t="s">
        <v>37</v>
      </c>
      <c r="D2260" s="357">
        <v>94579.87</v>
      </c>
      <c r="E2260" s="690" t="s">
        <v>618</v>
      </c>
      <c r="F2260" s="361" t="s">
        <v>614</v>
      </c>
      <c r="G2260" s="357">
        <f>80152.43*1.18</f>
        <v>94579.867399999988</v>
      </c>
      <c r="H2260" s="360">
        <v>42451</v>
      </c>
      <c r="I2260" s="360">
        <v>42529</v>
      </c>
      <c r="J2260" s="361">
        <v>80152.429999999993</v>
      </c>
      <c r="K2260" s="361">
        <v>80152.429999999993</v>
      </c>
      <c r="L2260" s="360">
        <v>42724</v>
      </c>
      <c r="M2260" s="361"/>
      <c r="N2260" s="539"/>
      <c r="O2260" s="466" t="s">
        <v>734</v>
      </c>
      <c r="P2260" s="176"/>
      <c r="Q2260" s="497"/>
      <c r="R2260" s="496"/>
      <c r="S2260" s="2"/>
      <c r="T2260" s="2"/>
      <c r="U2260" s="2"/>
      <c r="V2260" s="2"/>
    </row>
    <row r="2261" spans="1:22" s="11" customFormat="1" ht="33" outlineLevel="1" x14ac:dyDescent="0.25">
      <c r="A2261" s="1065"/>
      <c r="B2261" s="1064"/>
      <c r="C2261" s="549" t="s">
        <v>1095</v>
      </c>
      <c r="D2261" s="169">
        <v>93009.629495325207</v>
      </c>
      <c r="E2261" s="942"/>
      <c r="F2261" s="943"/>
      <c r="G2261" s="169"/>
      <c r="H2261" s="941"/>
      <c r="I2261" s="941"/>
      <c r="J2261" s="943"/>
      <c r="K2261" s="943"/>
      <c r="L2261" s="941"/>
      <c r="M2261" s="943"/>
      <c r="N2261" s="915"/>
      <c r="O2261" s="287"/>
      <c r="P2261" s="176"/>
      <c r="Q2261" s="446"/>
      <c r="R2261" s="335"/>
      <c r="S2261" s="2"/>
      <c r="T2261" s="2"/>
      <c r="U2261" s="2"/>
      <c r="V2261" s="2"/>
    </row>
    <row r="2262" spans="1:22" s="8" customFormat="1" ht="17.25" thickBot="1" x14ac:dyDescent="0.3">
      <c r="A2262" s="1066" t="s">
        <v>628</v>
      </c>
      <c r="B2262" s="1066"/>
      <c r="C2262" s="342"/>
      <c r="D2262" s="945">
        <f>SUM(D2259:D2261)</f>
        <v>6742589.4994953256</v>
      </c>
      <c r="E2262" s="942"/>
      <c r="F2262" s="943"/>
      <c r="G2262" s="945">
        <f>SUM(G2259:G2260)</f>
        <v>12564403.327400001</v>
      </c>
      <c r="H2262" s="941"/>
      <c r="I2262" s="172"/>
      <c r="J2262" s="952">
        <f>SUM(J2259:J2260)</f>
        <v>5834372.8700000001</v>
      </c>
      <c r="K2262" s="945">
        <f>SUM(K2259:K2260)</f>
        <v>80152.429999999993</v>
      </c>
      <c r="L2262" s="340"/>
      <c r="M2262" s="945"/>
      <c r="N2262" s="878">
        <f>AVERAGE(N2259:N2260)</f>
        <v>0.4</v>
      </c>
      <c r="O2262" s="694"/>
      <c r="P2262" s="176"/>
      <c r="Q2262" s="497"/>
      <c r="R2262" s="496"/>
      <c r="S2262" s="2"/>
      <c r="T2262" s="2"/>
      <c r="U2262" s="2"/>
      <c r="V2262" s="2"/>
    </row>
    <row r="2263" spans="1:22" s="6" customFormat="1" ht="31.5" customHeight="1" x14ac:dyDescent="0.25">
      <c r="A2263" s="1065">
        <v>140</v>
      </c>
      <c r="B2263" s="1076" t="s">
        <v>488</v>
      </c>
      <c r="C2263" s="281" t="s">
        <v>501</v>
      </c>
      <c r="D2263" s="208">
        <v>1772115.81</v>
      </c>
      <c r="E2263" s="948" t="s">
        <v>996</v>
      </c>
      <c r="F2263" s="947" t="s">
        <v>847</v>
      </c>
      <c r="G2263" s="208">
        <v>1888000</v>
      </c>
      <c r="H2263" s="950">
        <v>42623</v>
      </c>
      <c r="I2263" s="950">
        <v>42622</v>
      </c>
      <c r="J2263" s="947">
        <v>1772115.81</v>
      </c>
      <c r="K2263" s="947">
        <v>1772115.81</v>
      </c>
      <c r="L2263" s="254"/>
      <c r="M2263" s="255"/>
      <c r="N2263" s="909">
        <v>1</v>
      </c>
      <c r="O2263" s="699"/>
      <c r="P2263" s="176"/>
      <c r="Q2263" s="497"/>
      <c r="R2263" s="620"/>
      <c r="S2263" s="9"/>
      <c r="T2263" s="9"/>
      <c r="U2263" s="9"/>
      <c r="V2263" s="9"/>
    </row>
    <row r="2264" spans="1:22" s="8" customFormat="1" ht="49.5" x14ac:dyDescent="0.25">
      <c r="A2264" s="1065"/>
      <c r="B2264" s="1076"/>
      <c r="C2264" s="356" t="s">
        <v>37</v>
      </c>
      <c r="D2264" s="357">
        <v>71863.429999999993</v>
      </c>
      <c r="E2264" s="690" t="s">
        <v>622</v>
      </c>
      <c r="F2264" s="361" t="s">
        <v>614</v>
      </c>
      <c r="G2264" s="357">
        <v>71863.429999999993</v>
      </c>
      <c r="H2264" s="360">
        <v>42384</v>
      </c>
      <c r="I2264" s="360">
        <v>42510</v>
      </c>
      <c r="J2264" s="361">
        <v>60901.23</v>
      </c>
      <c r="K2264" s="361">
        <v>60901.23</v>
      </c>
      <c r="L2264" s="360">
        <v>42724</v>
      </c>
      <c r="M2264" s="361"/>
      <c r="N2264" s="539"/>
      <c r="O2264" s="466" t="s">
        <v>734</v>
      </c>
      <c r="P2264" s="176"/>
      <c r="Q2264" s="497"/>
      <c r="R2264" s="496"/>
      <c r="S2264" s="2"/>
      <c r="T2264" s="2"/>
      <c r="U2264" s="2"/>
      <c r="V2264" s="2"/>
    </row>
    <row r="2265" spans="1:22" s="8" customFormat="1" ht="17.25" thickBot="1" x14ac:dyDescent="0.3">
      <c r="A2265" s="1066" t="s">
        <v>628</v>
      </c>
      <c r="B2265" s="1066"/>
      <c r="C2265" s="342"/>
      <c r="D2265" s="945">
        <f>SUM(D2263:D2264)</f>
        <v>1843979.24</v>
      </c>
      <c r="E2265" s="942"/>
      <c r="F2265" s="943"/>
      <c r="G2265" s="945">
        <f>SUM(G2263:G2264)</f>
        <v>1959863.43</v>
      </c>
      <c r="H2265" s="941"/>
      <c r="I2265" s="172"/>
      <c r="J2265" s="952">
        <f>SUM(J2263:J2264)</f>
        <v>1833017.04</v>
      </c>
      <c r="K2265" s="945">
        <f>SUM(K2263:K2264)</f>
        <v>1833017.04</v>
      </c>
      <c r="L2265" s="340"/>
      <c r="M2265" s="945"/>
      <c r="N2265" s="878">
        <f>AVERAGE(N2263:N2264)</f>
        <v>1</v>
      </c>
      <c r="O2265" s="694"/>
      <c r="P2265" s="176"/>
      <c r="Q2265" s="497"/>
      <c r="R2265" s="496"/>
      <c r="S2265" s="2"/>
      <c r="T2265" s="2"/>
      <c r="U2265" s="2"/>
      <c r="V2265" s="2"/>
    </row>
    <row r="2266" spans="1:22" s="6" customFormat="1" ht="33" x14ac:dyDescent="0.25">
      <c r="A2266" s="1065">
        <v>141</v>
      </c>
      <c r="B2266" s="1076" t="s">
        <v>489</v>
      </c>
      <c r="C2266" s="208" t="s">
        <v>38</v>
      </c>
      <c r="D2266" s="208">
        <v>705260.59</v>
      </c>
      <c r="E2266" s="948" t="s">
        <v>989</v>
      </c>
      <c r="F2266" s="947" t="s">
        <v>770</v>
      </c>
      <c r="G2266" s="208">
        <v>546328.15</v>
      </c>
      <c r="H2266" s="950">
        <v>42628</v>
      </c>
      <c r="I2266" s="950">
        <v>42667</v>
      </c>
      <c r="J2266" s="947">
        <v>705260.59</v>
      </c>
      <c r="K2266" s="947">
        <v>705260.59</v>
      </c>
      <c r="L2266" s="254"/>
      <c r="M2266" s="255"/>
      <c r="N2266" s="909">
        <v>1</v>
      </c>
      <c r="O2266" s="736"/>
      <c r="P2266" s="176"/>
      <c r="Q2266" s="201" t="s">
        <v>1121</v>
      </c>
      <c r="R2266" s="620"/>
      <c r="S2266" s="9"/>
      <c r="T2266" s="9"/>
      <c r="U2266" s="9"/>
      <c r="V2266" s="9"/>
    </row>
    <row r="2267" spans="1:22" s="8" customFormat="1" ht="33" x14ac:dyDescent="0.25">
      <c r="A2267" s="1065"/>
      <c r="B2267" s="1076"/>
      <c r="C2267" s="208" t="s">
        <v>34</v>
      </c>
      <c r="D2267" s="208">
        <v>3492134.63</v>
      </c>
      <c r="E2267" s="948" t="s">
        <v>989</v>
      </c>
      <c r="F2267" s="947" t="s">
        <v>770</v>
      </c>
      <c r="G2267" s="947">
        <v>3641398.7</v>
      </c>
      <c r="H2267" s="950">
        <v>42628</v>
      </c>
      <c r="I2267" s="950">
        <v>42667</v>
      </c>
      <c r="J2267" s="947">
        <v>3492134.63</v>
      </c>
      <c r="K2267" s="947">
        <v>3492134.63</v>
      </c>
      <c r="L2267" s="950"/>
      <c r="M2267" s="947"/>
      <c r="N2267" s="207">
        <v>1</v>
      </c>
      <c r="O2267" s="521"/>
      <c r="P2267" s="176"/>
      <c r="Q2267" s="201" t="s">
        <v>1121</v>
      </c>
      <c r="R2267" s="496"/>
      <c r="S2267" s="2"/>
      <c r="T2267" s="2"/>
      <c r="U2267" s="2"/>
      <c r="V2267" s="2"/>
    </row>
    <row r="2268" spans="1:22" s="8" customFormat="1" ht="33" x14ac:dyDescent="0.25">
      <c r="A2268" s="1065"/>
      <c r="B2268" s="1076"/>
      <c r="C2268" s="208" t="s">
        <v>35</v>
      </c>
      <c r="D2268" s="208">
        <v>583607.30000000005</v>
      </c>
      <c r="E2268" s="948" t="s">
        <v>989</v>
      </c>
      <c r="F2268" s="947" t="s">
        <v>770</v>
      </c>
      <c r="G2268" s="208">
        <v>667205.14</v>
      </c>
      <c r="H2268" s="950">
        <v>42628</v>
      </c>
      <c r="I2268" s="950">
        <v>42667</v>
      </c>
      <c r="J2268" s="947">
        <v>583607.30000000005</v>
      </c>
      <c r="K2268" s="947">
        <v>583607.30000000005</v>
      </c>
      <c r="L2268" s="950"/>
      <c r="M2268" s="947"/>
      <c r="N2268" s="534">
        <v>1</v>
      </c>
      <c r="O2268" s="733"/>
      <c r="P2268" s="176"/>
      <c r="Q2268" s="201" t="s">
        <v>1121</v>
      </c>
      <c r="R2268" s="496"/>
      <c r="S2268" s="2"/>
      <c r="T2268" s="2"/>
      <c r="U2268" s="2"/>
      <c r="V2268" s="2"/>
    </row>
    <row r="2269" spans="1:22" s="8" customFormat="1" ht="33" x14ac:dyDescent="0.25">
      <c r="A2269" s="1065"/>
      <c r="B2269" s="1076"/>
      <c r="C2269" s="208" t="s">
        <v>36</v>
      </c>
      <c r="D2269" s="208">
        <v>340610.85</v>
      </c>
      <c r="E2269" s="948" t="s">
        <v>989</v>
      </c>
      <c r="F2269" s="947" t="s">
        <v>770</v>
      </c>
      <c r="G2269" s="208">
        <v>348676.94</v>
      </c>
      <c r="H2269" s="950">
        <v>42628</v>
      </c>
      <c r="I2269" s="950">
        <v>42667</v>
      </c>
      <c r="J2269" s="947">
        <v>340610.85</v>
      </c>
      <c r="K2269" s="947">
        <v>340610.85</v>
      </c>
      <c r="L2269" s="950"/>
      <c r="M2269" s="947"/>
      <c r="N2269" s="534">
        <v>1</v>
      </c>
      <c r="O2269" s="733"/>
      <c r="P2269" s="176"/>
      <c r="Q2269" s="201" t="s">
        <v>1121</v>
      </c>
      <c r="R2269" s="496"/>
      <c r="S2269" s="2"/>
      <c r="T2269" s="2"/>
      <c r="U2269" s="2"/>
      <c r="V2269" s="2"/>
    </row>
    <row r="2270" spans="1:22" s="8" customFormat="1" ht="49.5" x14ac:dyDescent="0.25">
      <c r="A2270" s="1065"/>
      <c r="B2270" s="1076"/>
      <c r="C2270" s="356" t="s">
        <v>37</v>
      </c>
      <c r="D2270" s="357">
        <v>350029.4</v>
      </c>
      <c r="E2270" s="690" t="s">
        <v>622</v>
      </c>
      <c r="F2270" s="361" t="s">
        <v>614</v>
      </c>
      <c r="G2270" s="357">
        <v>350029.4</v>
      </c>
      <c r="H2270" s="360">
        <v>42384</v>
      </c>
      <c r="I2270" s="360">
        <v>42541</v>
      </c>
      <c r="J2270" s="361">
        <v>296635.19</v>
      </c>
      <c r="K2270" s="361">
        <v>296635.19</v>
      </c>
      <c r="L2270" s="360">
        <v>42724</v>
      </c>
      <c r="M2270" s="361"/>
      <c r="N2270" s="539"/>
      <c r="O2270" s="466" t="s">
        <v>734</v>
      </c>
      <c r="P2270" s="176"/>
      <c r="Q2270" s="497"/>
      <c r="R2270" s="496"/>
      <c r="S2270" s="2"/>
      <c r="T2270" s="2"/>
      <c r="U2270" s="2"/>
      <c r="V2270" s="2"/>
    </row>
    <row r="2271" spans="1:22" s="8" customFormat="1" ht="17.25" thickBot="1" x14ac:dyDescent="0.3">
      <c r="A2271" s="1066" t="s">
        <v>628</v>
      </c>
      <c r="B2271" s="1066"/>
      <c r="C2271" s="339"/>
      <c r="D2271" s="945">
        <f>SUM(D2266:D2270)</f>
        <v>5471642.7699999996</v>
      </c>
      <c r="E2271" s="942"/>
      <c r="F2271" s="943"/>
      <c r="G2271" s="945">
        <f>SUM(G2266:G2270)</f>
        <v>5553638.330000001</v>
      </c>
      <c r="H2271" s="941"/>
      <c r="I2271" s="172"/>
      <c r="J2271" s="952">
        <f>SUM(J2266:J2270)</f>
        <v>5418248.5599999996</v>
      </c>
      <c r="K2271" s="945">
        <f>SUM(K2266:K2270)</f>
        <v>5418248.5599999996</v>
      </c>
      <c r="L2271" s="340"/>
      <c r="M2271" s="945"/>
      <c r="N2271" s="878">
        <f>AVERAGE(N2266:N2270)</f>
        <v>1</v>
      </c>
      <c r="O2271" s="713"/>
      <c r="P2271" s="176"/>
      <c r="Q2271" s="497"/>
      <c r="R2271" s="496"/>
      <c r="S2271" s="2"/>
      <c r="T2271" s="2"/>
      <c r="U2271" s="2"/>
      <c r="V2271" s="2"/>
    </row>
    <row r="2272" spans="1:22" s="6" customFormat="1" ht="33" x14ac:dyDescent="0.25">
      <c r="A2272" s="1065">
        <v>142</v>
      </c>
      <c r="B2272" s="1076" t="s">
        <v>490</v>
      </c>
      <c r="C2272" s="281" t="s">
        <v>500</v>
      </c>
      <c r="D2272" s="947">
        <v>7714619.9299999997</v>
      </c>
      <c r="E2272" s="947" t="s">
        <v>625</v>
      </c>
      <c r="F2272" s="947" t="s">
        <v>624</v>
      </c>
      <c r="G2272" s="947">
        <v>9130000</v>
      </c>
      <c r="H2272" s="950">
        <v>42475</v>
      </c>
      <c r="I2272" s="950">
        <v>42466</v>
      </c>
      <c r="J2272" s="947">
        <v>7714619.9300000006</v>
      </c>
      <c r="K2272" s="947">
        <v>7714619.9299999997</v>
      </c>
      <c r="L2272" s="950"/>
      <c r="M2272" s="947">
        <f>J2272-D2272</f>
        <v>0</v>
      </c>
      <c r="N2272" s="909">
        <v>1</v>
      </c>
      <c r="O2272" s="718"/>
      <c r="P2272" s="176"/>
      <c r="Q2272" s="497"/>
      <c r="R2272" s="620"/>
      <c r="S2272" s="9"/>
      <c r="T2272" s="9"/>
      <c r="U2272" s="9"/>
      <c r="V2272" s="9"/>
    </row>
    <row r="2273" spans="1:22" s="8" customFormat="1" ht="49.5" x14ac:dyDescent="0.25">
      <c r="A2273" s="1065"/>
      <c r="B2273" s="1076"/>
      <c r="C2273" s="356" t="s">
        <v>37</v>
      </c>
      <c r="D2273" s="357">
        <v>93918.399999999994</v>
      </c>
      <c r="E2273" s="690" t="s">
        <v>622</v>
      </c>
      <c r="F2273" s="361" t="s">
        <v>614</v>
      </c>
      <c r="G2273" s="357">
        <v>93918.399999999994</v>
      </c>
      <c r="H2273" s="360">
        <v>42384</v>
      </c>
      <c r="I2273" s="360">
        <v>42345</v>
      </c>
      <c r="J2273" s="361">
        <v>79591.89</v>
      </c>
      <c r="K2273" s="361">
        <v>79591.89</v>
      </c>
      <c r="L2273" s="360">
        <v>42724</v>
      </c>
      <c r="M2273" s="361"/>
      <c r="N2273" s="539"/>
      <c r="O2273" s="466" t="s">
        <v>734</v>
      </c>
      <c r="P2273" s="176"/>
      <c r="Q2273" s="931"/>
      <c r="R2273" s="496"/>
      <c r="S2273" s="25"/>
      <c r="T2273" s="2">
        <v>0</v>
      </c>
      <c r="U2273" s="2"/>
      <c r="V2273" s="2"/>
    </row>
    <row r="2274" spans="1:22" s="8" customFormat="1" ht="17.25" thickBot="1" x14ac:dyDescent="0.3">
      <c r="A2274" s="1066" t="s">
        <v>628</v>
      </c>
      <c r="B2274" s="1066"/>
      <c r="C2274" s="342"/>
      <c r="D2274" s="945">
        <f>SUM(D2272:D2273)</f>
        <v>7808538.3300000001</v>
      </c>
      <c r="E2274" s="942"/>
      <c r="F2274" s="943"/>
      <c r="G2274" s="945">
        <f>SUM(G2272:G2273)</f>
        <v>9223918.4000000004</v>
      </c>
      <c r="H2274" s="941"/>
      <c r="I2274" s="172"/>
      <c r="J2274" s="952">
        <f>SUM(J2272:J2273)</f>
        <v>7794211.8200000003</v>
      </c>
      <c r="K2274" s="945">
        <f>SUM(K2272:K2273)</f>
        <v>7794211.8199999994</v>
      </c>
      <c r="L2274" s="340"/>
      <c r="M2274" s="945"/>
      <c r="N2274" s="878">
        <f>AVERAGE(N2272:N2273)</f>
        <v>1</v>
      </c>
      <c r="O2274" s="694"/>
      <c r="P2274" s="176"/>
      <c r="Q2274" s="497"/>
      <c r="R2274" s="496"/>
      <c r="S2274" s="2"/>
      <c r="T2274" s="2"/>
      <c r="U2274" s="2"/>
      <c r="V2274" s="2"/>
    </row>
    <row r="2275" spans="1:22" s="6" customFormat="1" ht="33" x14ac:dyDescent="0.25">
      <c r="A2275" s="1065">
        <v>143</v>
      </c>
      <c r="B2275" s="1076" t="s">
        <v>6</v>
      </c>
      <c r="C2275" s="208" t="s">
        <v>34</v>
      </c>
      <c r="D2275" s="208">
        <v>3683250.14</v>
      </c>
      <c r="E2275" s="948" t="s">
        <v>989</v>
      </c>
      <c r="F2275" s="947" t="s">
        <v>770</v>
      </c>
      <c r="G2275" s="208">
        <v>3904102.58</v>
      </c>
      <c r="H2275" s="950">
        <v>42628</v>
      </c>
      <c r="I2275" s="950">
        <v>42667</v>
      </c>
      <c r="J2275" s="947">
        <v>3683250.14</v>
      </c>
      <c r="K2275" s="947">
        <v>3683250.14</v>
      </c>
      <c r="L2275" s="254"/>
      <c r="M2275" s="255"/>
      <c r="N2275" s="909">
        <v>1</v>
      </c>
      <c r="O2275" s="736"/>
      <c r="P2275" s="176"/>
      <c r="Q2275" s="201" t="s">
        <v>1121</v>
      </c>
      <c r="R2275" s="620"/>
      <c r="S2275" s="9"/>
      <c r="T2275" s="9"/>
      <c r="U2275" s="9"/>
      <c r="V2275" s="9"/>
    </row>
    <row r="2276" spans="1:22" s="8" customFormat="1" ht="33" x14ac:dyDescent="0.25">
      <c r="A2276" s="1065"/>
      <c r="B2276" s="1076"/>
      <c r="C2276" s="208" t="s">
        <v>35</v>
      </c>
      <c r="D2276" s="208">
        <v>649521.31999999995</v>
      </c>
      <c r="E2276" s="948" t="s">
        <v>989</v>
      </c>
      <c r="F2276" s="947" t="s">
        <v>770</v>
      </c>
      <c r="G2276" s="947">
        <v>738018.29</v>
      </c>
      <c r="H2276" s="950">
        <v>42628</v>
      </c>
      <c r="I2276" s="950">
        <v>42667</v>
      </c>
      <c r="J2276" s="947">
        <v>649521.31999999995</v>
      </c>
      <c r="K2276" s="947">
        <v>649521.31999999995</v>
      </c>
      <c r="L2276" s="950"/>
      <c r="M2276" s="947"/>
      <c r="N2276" s="207">
        <v>1</v>
      </c>
      <c r="O2276" s="521"/>
      <c r="P2276" s="176"/>
      <c r="Q2276" s="201" t="s">
        <v>1121</v>
      </c>
      <c r="R2276" s="496"/>
      <c r="S2276" s="2"/>
      <c r="T2276" s="2"/>
      <c r="U2276" s="2"/>
      <c r="V2276" s="2"/>
    </row>
    <row r="2277" spans="1:22" s="8" customFormat="1" ht="33" x14ac:dyDescent="0.25">
      <c r="A2277" s="1065"/>
      <c r="B2277" s="1076"/>
      <c r="C2277" s="208" t="s">
        <v>36</v>
      </c>
      <c r="D2277" s="208">
        <v>406046.99</v>
      </c>
      <c r="E2277" s="948" t="s">
        <v>989</v>
      </c>
      <c r="F2277" s="947" t="s">
        <v>770</v>
      </c>
      <c r="G2277" s="208">
        <v>415661.18</v>
      </c>
      <c r="H2277" s="950">
        <v>42628</v>
      </c>
      <c r="I2277" s="950">
        <v>42667</v>
      </c>
      <c r="J2277" s="947">
        <v>406046.99</v>
      </c>
      <c r="K2277" s="947">
        <v>406046.99</v>
      </c>
      <c r="L2277" s="950"/>
      <c r="M2277" s="947"/>
      <c r="N2277" s="534">
        <v>1</v>
      </c>
      <c r="O2277" s="733"/>
      <c r="P2277" s="176"/>
      <c r="Q2277" s="201" t="s">
        <v>1121</v>
      </c>
      <c r="R2277" s="496"/>
      <c r="S2277" s="2"/>
      <c r="T2277" s="2"/>
      <c r="U2277" s="2"/>
      <c r="V2277" s="2"/>
    </row>
    <row r="2278" spans="1:22" s="8" customFormat="1" ht="49.5" x14ac:dyDescent="0.25">
      <c r="A2278" s="1065"/>
      <c r="B2278" s="1076"/>
      <c r="C2278" s="356" t="s">
        <v>37</v>
      </c>
      <c r="D2278" s="357">
        <v>274271.82</v>
      </c>
      <c r="E2278" s="690" t="s">
        <v>622</v>
      </c>
      <c r="F2278" s="361" t="s">
        <v>614</v>
      </c>
      <c r="G2278" s="357">
        <v>274271.82</v>
      </c>
      <c r="H2278" s="360">
        <v>42384</v>
      </c>
      <c r="I2278" s="360">
        <v>42571</v>
      </c>
      <c r="J2278" s="361">
        <v>232433.82</v>
      </c>
      <c r="K2278" s="361">
        <v>232433.82</v>
      </c>
      <c r="L2278" s="360">
        <v>42724</v>
      </c>
      <c r="M2278" s="361"/>
      <c r="N2278" s="539"/>
      <c r="O2278" s="466" t="s">
        <v>734</v>
      </c>
      <c r="P2278" s="176"/>
      <c r="Q2278" s="497"/>
      <c r="R2278" s="496"/>
      <c r="S2278" s="2"/>
      <c r="T2278" s="2"/>
      <c r="U2278" s="2"/>
      <c r="V2278" s="2"/>
    </row>
    <row r="2279" spans="1:22" s="8" customFormat="1" ht="17.25" thickBot="1" x14ac:dyDescent="0.3">
      <c r="A2279" s="1066" t="s">
        <v>628</v>
      </c>
      <c r="B2279" s="1066"/>
      <c r="C2279" s="339"/>
      <c r="D2279" s="945">
        <f>SUM(D2275:D2278)</f>
        <v>5013090.2700000005</v>
      </c>
      <c r="E2279" s="942"/>
      <c r="F2279" s="943"/>
      <c r="G2279" s="945">
        <f>SUM(G2275:G2278)</f>
        <v>5332053.87</v>
      </c>
      <c r="H2279" s="941"/>
      <c r="I2279" s="172"/>
      <c r="J2279" s="952">
        <f>SUM(J2275:J2278)</f>
        <v>4971252.2700000005</v>
      </c>
      <c r="K2279" s="945">
        <f>SUM(K2275:K2278)</f>
        <v>4971252.2700000005</v>
      </c>
      <c r="L2279" s="340"/>
      <c r="M2279" s="945"/>
      <c r="N2279" s="878">
        <f>AVERAGE(N2275:N2278)</f>
        <v>1</v>
      </c>
      <c r="O2279" s="713"/>
      <c r="P2279" s="176"/>
      <c r="Q2279" s="497"/>
      <c r="R2279" s="496"/>
      <c r="S2279" s="2"/>
      <c r="T2279" s="2"/>
      <c r="U2279" s="2"/>
      <c r="V2279" s="2"/>
    </row>
    <row r="2280" spans="1:22" s="6" customFormat="1" ht="33.75" customHeight="1" x14ac:dyDescent="0.25">
      <c r="A2280" s="1065">
        <v>144</v>
      </c>
      <c r="B2280" s="1064" t="s">
        <v>491</v>
      </c>
      <c r="C2280" s="281" t="s">
        <v>500</v>
      </c>
      <c r="D2280" s="208">
        <v>3179121.66</v>
      </c>
      <c r="E2280" s="960" t="s">
        <v>950</v>
      </c>
      <c r="F2280" s="947" t="s">
        <v>951</v>
      </c>
      <c r="G2280" s="208">
        <v>3800000</v>
      </c>
      <c r="H2280" s="950">
        <v>42593</v>
      </c>
      <c r="I2280" s="950">
        <v>42592</v>
      </c>
      <c r="J2280" s="947">
        <v>3179121.66</v>
      </c>
      <c r="K2280" s="947">
        <v>3179121.66</v>
      </c>
      <c r="L2280" s="254"/>
      <c r="M2280" s="255"/>
      <c r="N2280" s="909">
        <v>1</v>
      </c>
      <c r="O2280" s="699"/>
      <c r="P2280" s="176"/>
      <c r="Q2280" s="497"/>
      <c r="R2280" s="620"/>
      <c r="S2280" s="9"/>
      <c r="T2280" s="9"/>
      <c r="U2280" s="9"/>
      <c r="V2280" s="9"/>
    </row>
    <row r="2281" spans="1:22" s="8" customFormat="1" ht="49.5" x14ac:dyDescent="0.25">
      <c r="A2281" s="1065"/>
      <c r="B2281" s="1064"/>
      <c r="C2281" s="356" t="s">
        <v>37</v>
      </c>
      <c r="D2281" s="357">
        <v>76394.84</v>
      </c>
      <c r="E2281" s="690" t="s">
        <v>615</v>
      </c>
      <c r="F2281" s="361" t="s">
        <v>614</v>
      </c>
      <c r="G2281" s="357">
        <f>64741.39*1.18</f>
        <v>76394.840199999991</v>
      </c>
      <c r="H2281" s="360">
        <v>42420</v>
      </c>
      <c r="I2281" s="360">
        <v>42529</v>
      </c>
      <c r="J2281" s="361">
        <v>64741.39</v>
      </c>
      <c r="K2281" s="361">
        <v>64741.39</v>
      </c>
      <c r="L2281" s="360"/>
      <c r="M2281" s="361"/>
      <c r="N2281" s="539"/>
      <c r="O2281" s="466" t="s">
        <v>734</v>
      </c>
      <c r="P2281" s="176"/>
      <c r="Q2281" s="497"/>
      <c r="R2281" s="496"/>
      <c r="S2281" s="2"/>
      <c r="T2281" s="2"/>
      <c r="U2281" s="2"/>
      <c r="V2281" s="2"/>
    </row>
    <row r="2282" spans="1:22" s="8" customFormat="1" ht="17.25" thickBot="1" x14ac:dyDescent="0.3">
      <c r="A2282" s="1066" t="s">
        <v>628</v>
      </c>
      <c r="B2282" s="1066"/>
      <c r="C2282" s="342"/>
      <c r="D2282" s="945">
        <f>SUM(D2280:D2281)</f>
        <v>3255516.5</v>
      </c>
      <c r="E2282" s="942"/>
      <c r="F2282" s="943"/>
      <c r="G2282" s="945">
        <f>SUM(G2280:G2281)</f>
        <v>3876394.8402</v>
      </c>
      <c r="H2282" s="941"/>
      <c r="I2282" s="172"/>
      <c r="J2282" s="952">
        <f>SUM(J2280:J2281)</f>
        <v>3243863.0500000003</v>
      </c>
      <c r="K2282" s="945">
        <f>SUM(K2280:K2281)</f>
        <v>3243863.0500000003</v>
      </c>
      <c r="L2282" s="340"/>
      <c r="M2282" s="945"/>
      <c r="N2282" s="878">
        <f>AVERAGE(N2280:N2281)</f>
        <v>1</v>
      </c>
      <c r="O2282" s="694"/>
      <c r="P2282" s="176"/>
      <c r="Q2282" s="497"/>
      <c r="R2282" s="496"/>
      <c r="S2282" s="2"/>
      <c r="T2282" s="2"/>
      <c r="U2282" s="2"/>
      <c r="V2282" s="2"/>
    </row>
    <row r="2283" spans="1:22" s="6" customFormat="1" ht="33" x14ac:dyDescent="0.25">
      <c r="A2283" s="1065">
        <v>145</v>
      </c>
      <c r="B2283" s="1064" t="s">
        <v>613</v>
      </c>
      <c r="C2283" s="281" t="s">
        <v>500</v>
      </c>
      <c r="D2283" s="208">
        <v>1953990.46</v>
      </c>
      <c r="E2283" s="947" t="s">
        <v>803</v>
      </c>
      <c r="F2283" s="947" t="s">
        <v>804</v>
      </c>
      <c r="G2283" s="208">
        <v>2000000</v>
      </c>
      <c r="H2283" s="950">
        <v>42517</v>
      </c>
      <c r="I2283" s="950">
        <v>42517</v>
      </c>
      <c r="J2283" s="947">
        <v>1953990.46</v>
      </c>
      <c r="K2283" s="947">
        <v>1953990.46</v>
      </c>
      <c r="L2283" s="950"/>
      <c r="M2283" s="947">
        <f>J2283-D2283</f>
        <v>0</v>
      </c>
      <c r="N2283" s="909">
        <v>1</v>
      </c>
      <c r="O2283" s="699"/>
      <c r="P2283" s="176"/>
      <c r="Q2283" s="497"/>
      <c r="R2283" s="620"/>
      <c r="S2283" s="9"/>
      <c r="T2283" s="9"/>
      <c r="U2283" s="9"/>
      <c r="V2283" s="9"/>
    </row>
    <row r="2284" spans="1:22" s="8" customFormat="1" ht="33" x14ac:dyDescent="0.25">
      <c r="A2284" s="1065"/>
      <c r="B2284" s="1064"/>
      <c r="C2284" s="281" t="s">
        <v>501</v>
      </c>
      <c r="D2284" s="208">
        <v>1190000</v>
      </c>
      <c r="E2284" s="948" t="s">
        <v>1159</v>
      </c>
      <c r="F2284" s="947" t="s">
        <v>804</v>
      </c>
      <c r="G2284" s="947">
        <v>1190000</v>
      </c>
      <c r="H2284" s="950">
        <v>42735</v>
      </c>
      <c r="I2284" s="950">
        <v>42712</v>
      </c>
      <c r="J2284" s="947">
        <v>1043415.93</v>
      </c>
      <c r="K2284" s="947">
        <v>1043415.93</v>
      </c>
      <c r="L2284" s="950">
        <v>42720</v>
      </c>
      <c r="M2284" s="947"/>
      <c r="N2284" s="534">
        <v>1</v>
      </c>
      <c r="O2284" s="704"/>
      <c r="P2284" s="176"/>
      <c r="Q2284" s="497"/>
      <c r="R2284" s="496"/>
      <c r="S2284" s="2"/>
      <c r="T2284" s="2"/>
      <c r="U2284" s="2"/>
      <c r="V2284" s="2"/>
    </row>
    <row r="2285" spans="1:22" s="8" customFormat="1" ht="49.5" x14ac:dyDescent="0.25">
      <c r="A2285" s="1065"/>
      <c r="B2285" s="1064"/>
      <c r="C2285" s="356" t="s">
        <v>37</v>
      </c>
      <c r="D2285" s="357">
        <v>133994.5</v>
      </c>
      <c r="E2285" s="690" t="s">
        <v>615</v>
      </c>
      <c r="F2285" s="361" t="s">
        <v>614</v>
      </c>
      <c r="G2285" s="357">
        <f>113554.66*1.18</f>
        <v>133994.4988</v>
      </c>
      <c r="H2285" s="360">
        <v>42420</v>
      </c>
      <c r="I2285" s="360">
        <v>42452</v>
      </c>
      <c r="J2285" s="361">
        <v>113554.67</v>
      </c>
      <c r="K2285" s="361">
        <v>113554.67</v>
      </c>
      <c r="L2285" s="360"/>
      <c r="M2285" s="361"/>
      <c r="N2285" s="539"/>
      <c r="O2285" s="466" t="s">
        <v>877</v>
      </c>
      <c r="P2285" s="176"/>
      <c r="Q2285" s="497"/>
      <c r="R2285" s="496"/>
      <c r="S2285" s="2"/>
      <c r="T2285" s="2"/>
      <c r="U2285" s="2"/>
      <c r="V2285" s="2"/>
    </row>
    <row r="2286" spans="1:22" s="8" customFormat="1" ht="17.25" thickBot="1" x14ac:dyDescent="0.3">
      <c r="A2286" s="1066" t="s">
        <v>628</v>
      </c>
      <c r="B2286" s="1066"/>
      <c r="C2286" s="342"/>
      <c r="D2286" s="945">
        <f>SUM(D2283:D2285)</f>
        <v>3277984.96</v>
      </c>
      <c r="E2286" s="942"/>
      <c r="F2286" s="943"/>
      <c r="G2286" s="945">
        <f>SUM(G2283:G2285)</f>
        <v>3323994.4988000002</v>
      </c>
      <c r="H2286" s="941"/>
      <c r="I2286" s="172"/>
      <c r="J2286" s="952">
        <f t="shared" ref="J2286" si="153">SUM(J2283:J2285)</f>
        <v>3110961.06</v>
      </c>
      <c r="K2286" s="945">
        <f>SUM(K2283:K2285)</f>
        <v>3110961.06</v>
      </c>
      <c r="L2286" s="340"/>
      <c r="M2286" s="945"/>
      <c r="N2286" s="878">
        <f>AVERAGE(N2283:N2285)</f>
        <v>1</v>
      </c>
      <c r="O2286" s="694"/>
      <c r="P2286" s="176"/>
      <c r="Q2286" s="497"/>
      <c r="R2286" s="496"/>
      <c r="S2286" s="2"/>
      <c r="T2286" s="2"/>
      <c r="U2286" s="2"/>
      <c r="V2286" s="2"/>
    </row>
    <row r="2287" spans="1:22" s="6" customFormat="1" ht="33.75" customHeight="1" x14ac:dyDescent="0.25">
      <c r="A2287" s="1065">
        <v>146</v>
      </c>
      <c r="B2287" s="1064" t="s">
        <v>492</v>
      </c>
      <c r="C2287" s="281" t="s">
        <v>500</v>
      </c>
      <c r="D2287" s="208">
        <v>3548263.54</v>
      </c>
      <c r="E2287" s="948" t="s">
        <v>971</v>
      </c>
      <c r="F2287" s="947" t="s">
        <v>969</v>
      </c>
      <c r="G2287" s="208">
        <v>3794455.2</v>
      </c>
      <c r="H2287" s="950">
        <v>42628</v>
      </c>
      <c r="I2287" s="950">
        <v>42669</v>
      </c>
      <c r="J2287" s="947">
        <v>3548263.54</v>
      </c>
      <c r="K2287" s="947">
        <v>3548263.54</v>
      </c>
      <c r="L2287" s="950">
        <v>42697</v>
      </c>
      <c r="M2287" s="255"/>
      <c r="N2287" s="909">
        <v>1</v>
      </c>
      <c r="O2287" s="699"/>
      <c r="P2287" s="176"/>
      <c r="Q2287" s="201" t="s">
        <v>1121</v>
      </c>
      <c r="R2287" s="620"/>
      <c r="S2287" s="9"/>
      <c r="T2287" s="9"/>
      <c r="U2287" s="9"/>
      <c r="V2287" s="9"/>
    </row>
    <row r="2288" spans="1:22" s="8" customFormat="1" ht="49.5" x14ac:dyDescent="0.25">
      <c r="A2288" s="1065"/>
      <c r="B2288" s="1064"/>
      <c r="C2288" s="356" t="s">
        <v>37</v>
      </c>
      <c r="D2288" s="357">
        <v>87352.07</v>
      </c>
      <c r="E2288" s="690" t="s">
        <v>615</v>
      </c>
      <c r="F2288" s="361" t="s">
        <v>614</v>
      </c>
      <c r="G2288" s="357">
        <f>74027.18*1.18</f>
        <v>87352.07239999999</v>
      </c>
      <c r="H2288" s="360">
        <v>42420</v>
      </c>
      <c r="I2288" s="360">
        <v>42524</v>
      </c>
      <c r="J2288" s="361">
        <v>74027.179999999993</v>
      </c>
      <c r="K2288" s="361">
        <v>74027.179999999993</v>
      </c>
      <c r="L2288" s="360"/>
      <c r="M2288" s="361"/>
      <c r="N2288" s="539"/>
      <c r="O2288" s="466" t="s">
        <v>734</v>
      </c>
      <c r="P2288" s="176"/>
      <c r="Q2288" s="497"/>
      <c r="R2288" s="496"/>
      <c r="S2288" s="2"/>
      <c r="T2288" s="2"/>
      <c r="U2288" s="2"/>
      <c r="V2288" s="2"/>
    </row>
    <row r="2289" spans="1:22" s="8" customFormat="1" ht="17.25" thickBot="1" x14ac:dyDescent="0.3">
      <c r="A2289" s="1066" t="s">
        <v>628</v>
      </c>
      <c r="B2289" s="1066"/>
      <c r="C2289" s="342"/>
      <c r="D2289" s="945">
        <f>SUM(D2287:D2288)</f>
        <v>3635615.61</v>
      </c>
      <c r="E2289" s="942"/>
      <c r="F2289" s="943"/>
      <c r="G2289" s="945">
        <f>SUM(G2287:G2288)</f>
        <v>3881807.2724000001</v>
      </c>
      <c r="H2289" s="941"/>
      <c r="I2289" s="172"/>
      <c r="J2289" s="952">
        <f>SUM(J2287:J2288)</f>
        <v>3622290.72</v>
      </c>
      <c r="K2289" s="945">
        <f>SUM(K2287:K2288)</f>
        <v>3622290.72</v>
      </c>
      <c r="L2289" s="340"/>
      <c r="M2289" s="945"/>
      <c r="N2289" s="878">
        <f>AVERAGE(N2287:N2288)</f>
        <v>1</v>
      </c>
      <c r="O2289" s="694"/>
      <c r="P2289" s="176"/>
      <c r="Q2289" s="497"/>
      <c r="R2289" s="496"/>
      <c r="S2289" s="2"/>
      <c r="T2289" s="2"/>
      <c r="U2289" s="2"/>
      <c r="V2289" s="2"/>
    </row>
    <row r="2290" spans="1:22" s="6" customFormat="1" ht="33" x14ac:dyDescent="0.25">
      <c r="A2290" s="1065">
        <v>147</v>
      </c>
      <c r="B2290" s="1064" t="s">
        <v>493</v>
      </c>
      <c r="C2290" s="281" t="s">
        <v>500</v>
      </c>
      <c r="D2290" s="208">
        <v>4267180.83</v>
      </c>
      <c r="E2290" s="948" t="s">
        <v>990</v>
      </c>
      <c r="F2290" s="947" t="s">
        <v>796</v>
      </c>
      <c r="G2290" s="208">
        <v>4950833.76</v>
      </c>
      <c r="H2290" s="950">
        <v>42653</v>
      </c>
      <c r="I2290" s="950">
        <v>42660</v>
      </c>
      <c r="J2290" s="947">
        <v>4267180.83</v>
      </c>
      <c r="K2290" s="947">
        <v>4267180.83</v>
      </c>
      <c r="L2290" s="254"/>
      <c r="M2290" s="255"/>
      <c r="N2290" s="909">
        <v>1</v>
      </c>
      <c r="O2290" s="699"/>
      <c r="P2290" s="176"/>
      <c r="Q2290" s="201" t="s">
        <v>1116</v>
      </c>
      <c r="R2290" s="620"/>
      <c r="S2290" s="9"/>
      <c r="T2290" s="9"/>
      <c r="U2290" s="9"/>
      <c r="V2290" s="9"/>
    </row>
    <row r="2291" spans="1:22" s="8" customFormat="1" ht="49.5" x14ac:dyDescent="0.25">
      <c r="A2291" s="1065"/>
      <c r="B2291" s="1064"/>
      <c r="C2291" s="356" t="s">
        <v>37</v>
      </c>
      <c r="D2291" s="357">
        <v>74729.16</v>
      </c>
      <c r="E2291" s="690" t="s">
        <v>615</v>
      </c>
      <c r="F2291" s="361" t="s">
        <v>614</v>
      </c>
      <c r="G2291" s="357">
        <f>63329.8*1.18</f>
        <v>74729.164000000004</v>
      </c>
      <c r="H2291" s="360">
        <v>42420</v>
      </c>
      <c r="I2291" s="360">
        <v>42565</v>
      </c>
      <c r="J2291" s="361">
        <v>63329.8</v>
      </c>
      <c r="K2291" s="361">
        <v>63329.8</v>
      </c>
      <c r="L2291" s="360"/>
      <c r="M2291" s="361"/>
      <c r="N2291" s="539"/>
      <c r="O2291" s="466" t="s">
        <v>734</v>
      </c>
      <c r="P2291" s="176"/>
      <c r="Q2291" s="497"/>
      <c r="R2291" s="496"/>
      <c r="S2291" s="2"/>
      <c r="T2291" s="2"/>
      <c r="U2291" s="2"/>
      <c r="V2291" s="2"/>
    </row>
    <row r="2292" spans="1:22" s="8" customFormat="1" ht="17.25" thickBot="1" x14ac:dyDescent="0.3">
      <c r="A2292" s="1066" t="s">
        <v>628</v>
      </c>
      <c r="B2292" s="1066"/>
      <c r="C2292" s="342"/>
      <c r="D2292" s="945">
        <f>SUM(D2290:D2291)</f>
        <v>4341909.99</v>
      </c>
      <c r="E2292" s="942"/>
      <c r="F2292" s="943"/>
      <c r="G2292" s="945">
        <f>SUM(G2290:G2291)</f>
        <v>5025562.9239999996</v>
      </c>
      <c r="H2292" s="941"/>
      <c r="I2292" s="172"/>
      <c r="J2292" s="952">
        <f>SUM(J2290:J2291)</f>
        <v>4330510.63</v>
      </c>
      <c r="K2292" s="945">
        <f>SUM(K2290:K2291)</f>
        <v>4330510.63</v>
      </c>
      <c r="L2292" s="340"/>
      <c r="M2292" s="945"/>
      <c r="N2292" s="878">
        <f>AVERAGE(N2290:N2291)</f>
        <v>1</v>
      </c>
      <c r="O2292" s="707"/>
      <c r="P2292" s="176"/>
      <c r="Q2292" s="497"/>
      <c r="R2292" s="496"/>
      <c r="S2292" s="2"/>
      <c r="T2292" s="2"/>
      <c r="U2292" s="2"/>
      <c r="V2292" s="2"/>
    </row>
    <row r="2293" spans="1:22" s="6" customFormat="1" ht="33" x14ac:dyDescent="0.25">
      <c r="A2293" s="1065">
        <v>148</v>
      </c>
      <c r="B2293" s="1064" t="s">
        <v>494</v>
      </c>
      <c r="C2293" s="281" t="s">
        <v>500</v>
      </c>
      <c r="D2293" s="208">
        <v>4447845.5</v>
      </c>
      <c r="E2293" s="948" t="s">
        <v>990</v>
      </c>
      <c r="F2293" s="947" t="s">
        <v>796</v>
      </c>
      <c r="G2293" s="208">
        <v>4949166.24</v>
      </c>
      <c r="H2293" s="950">
        <v>42653</v>
      </c>
      <c r="I2293" s="950">
        <v>42660</v>
      </c>
      <c r="J2293" s="947">
        <v>4447845.5</v>
      </c>
      <c r="K2293" s="947">
        <v>4447845.5</v>
      </c>
      <c r="L2293" s="254"/>
      <c r="M2293" s="255"/>
      <c r="N2293" s="909">
        <v>1</v>
      </c>
      <c r="O2293" s="699"/>
      <c r="P2293" s="176"/>
      <c r="Q2293" s="201" t="s">
        <v>1116</v>
      </c>
      <c r="R2293" s="620"/>
      <c r="S2293" s="9"/>
      <c r="T2293" s="9"/>
      <c r="U2293" s="9"/>
      <c r="V2293" s="9"/>
    </row>
    <row r="2294" spans="1:22" s="8" customFormat="1" ht="49.5" x14ac:dyDescent="0.25">
      <c r="A2294" s="1065"/>
      <c r="B2294" s="1064"/>
      <c r="C2294" s="356" t="s">
        <v>37</v>
      </c>
      <c r="D2294" s="357">
        <v>74824.67</v>
      </c>
      <c r="E2294" s="690" t="s">
        <v>615</v>
      </c>
      <c r="F2294" s="361" t="s">
        <v>614</v>
      </c>
      <c r="G2294" s="357">
        <f>63410.74*1.18</f>
        <v>74824.67319999999</v>
      </c>
      <c r="H2294" s="360">
        <v>42420</v>
      </c>
      <c r="I2294" s="360">
        <v>42565</v>
      </c>
      <c r="J2294" s="361">
        <v>63410.74</v>
      </c>
      <c r="K2294" s="361">
        <v>63410.74</v>
      </c>
      <c r="L2294" s="360"/>
      <c r="M2294" s="361"/>
      <c r="N2294" s="539"/>
      <c r="O2294" s="466" t="s">
        <v>734</v>
      </c>
      <c r="P2294" s="176"/>
      <c r="Q2294" s="497"/>
      <c r="R2294" s="496"/>
      <c r="S2294" s="2"/>
      <c r="T2294" s="2"/>
      <c r="U2294" s="2"/>
      <c r="V2294" s="2"/>
    </row>
    <row r="2295" spans="1:22" s="8" customFormat="1" ht="17.25" thickBot="1" x14ac:dyDescent="0.3">
      <c r="A2295" s="1066" t="s">
        <v>628</v>
      </c>
      <c r="B2295" s="1066"/>
      <c r="C2295" s="342"/>
      <c r="D2295" s="945">
        <f>SUM(D2293:D2294)</f>
        <v>4522670.17</v>
      </c>
      <c r="E2295" s="942"/>
      <c r="F2295" s="943"/>
      <c r="G2295" s="945">
        <f>SUM(G2293:G2294)</f>
        <v>5023990.9132000003</v>
      </c>
      <c r="H2295" s="941"/>
      <c r="I2295" s="172"/>
      <c r="J2295" s="952">
        <f>SUM(J2293:J2294)</f>
        <v>4511256.24</v>
      </c>
      <c r="K2295" s="945">
        <f>SUM(K2293:K2294)</f>
        <v>4511256.24</v>
      </c>
      <c r="L2295" s="340"/>
      <c r="M2295" s="945"/>
      <c r="N2295" s="878">
        <f>AVERAGE(N2293:N2294)</f>
        <v>1</v>
      </c>
      <c r="O2295" s="694"/>
      <c r="P2295" s="176"/>
      <c r="Q2295" s="497"/>
      <c r="R2295" s="496"/>
      <c r="S2295" s="2"/>
      <c r="T2295" s="2"/>
      <c r="U2295" s="2"/>
      <c r="V2295" s="2"/>
    </row>
    <row r="2296" spans="1:22" s="6" customFormat="1" ht="33" x14ac:dyDescent="0.25">
      <c r="A2296" s="1065">
        <v>149</v>
      </c>
      <c r="B2296" s="1076" t="s">
        <v>495</v>
      </c>
      <c r="C2296" s="208" t="s">
        <v>38</v>
      </c>
      <c r="D2296" s="208">
        <v>220340.67</v>
      </c>
      <c r="E2296" s="948" t="s">
        <v>989</v>
      </c>
      <c r="F2296" s="947" t="s">
        <v>770</v>
      </c>
      <c r="G2296" s="208">
        <v>192609.02</v>
      </c>
      <c r="H2296" s="950">
        <v>42633</v>
      </c>
      <c r="I2296" s="950">
        <v>42683</v>
      </c>
      <c r="J2296" s="947">
        <v>220340.67</v>
      </c>
      <c r="K2296" s="947">
        <v>220340.67</v>
      </c>
      <c r="L2296" s="950">
        <v>42716</v>
      </c>
      <c r="M2296" s="255"/>
      <c r="N2296" s="909">
        <v>1</v>
      </c>
      <c r="O2296" s="736"/>
      <c r="P2296" s="176"/>
      <c r="Q2296" s="201" t="s">
        <v>1121</v>
      </c>
      <c r="R2296" s="620"/>
      <c r="S2296" s="9"/>
      <c r="T2296" s="9"/>
      <c r="U2296" s="9"/>
      <c r="V2296" s="9"/>
    </row>
    <row r="2297" spans="1:22" s="8" customFormat="1" ht="33" x14ac:dyDescent="0.25">
      <c r="A2297" s="1065"/>
      <c r="B2297" s="1076"/>
      <c r="C2297" s="208" t="s">
        <v>500</v>
      </c>
      <c r="D2297" s="208">
        <v>2196275.9700000002</v>
      </c>
      <c r="E2297" s="948" t="s">
        <v>997</v>
      </c>
      <c r="F2297" s="947" t="s">
        <v>799</v>
      </c>
      <c r="G2297" s="947">
        <v>2850000</v>
      </c>
      <c r="H2297" s="950">
        <v>42618</v>
      </c>
      <c r="I2297" s="950">
        <v>42618</v>
      </c>
      <c r="J2297" s="947">
        <v>2196275.9700000002</v>
      </c>
      <c r="K2297" s="947">
        <v>2196275.9700000002</v>
      </c>
      <c r="L2297" s="950"/>
      <c r="M2297" s="947"/>
      <c r="N2297" s="534">
        <v>1</v>
      </c>
      <c r="O2297" s="733"/>
      <c r="P2297" s="176"/>
      <c r="Q2297" s="497"/>
      <c r="R2297" s="496"/>
      <c r="S2297" s="2"/>
      <c r="T2297" s="2"/>
      <c r="U2297" s="2"/>
      <c r="V2297" s="2"/>
    </row>
    <row r="2298" spans="1:22" s="8" customFormat="1" ht="49.5" x14ac:dyDescent="0.25">
      <c r="A2298" s="1065"/>
      <c r="B2298" s="1076"/>
      <c r="C2298" s="356" t="s">
        <v>37</v>
      </c>
      <c r="D2298" s="357">
        <f>45570.4*1.18</f>
        <v>53773.072</v>
      </c>
      <c r="E2298" s="690" t="s">
        <v>618</v>
      </c>
      <c r="F2298" s="361" t="s">
        <v>614</v>
      </c>
      <c r="G2298" s="357">
        <f>45570.4*1.18</f>
        <v>53773.072</v>
      </c>
      <c r="H2298" s="360">
        <v>42451</v>
      </c>
      <c r="I2298" s="360">
        <v>42542</v>
      </c>
      <c r="J2298" s="361">
        <v>45570.42</v>
      </c>
      <c r="K2298" s="361">
        <v>45570.42</v>
      </c>
      <c r="L2298" s="360"/>
      <c r="M2298" s="361"/>
      <c r="N2298" s="539"/>
      <c r="O2298" s="466" t="s">
        <v>878</v>
      </c>
      <c r="P2298" s="176"/>
      <c r="Q2298" s="497"/>
      <c r="R2298" s="496"/>
      <c r="S2298" s="2"/>
      <c r="T2298" s="2"/>
      <c r="U2298" s="2"/>
      <c r="V2298" s="2"/>
    </row>
    <row r="2299" spans="1:22" s="8" customFormat="1" ht="33" x14ac:dyDescent="0.25">
      <c r="A2299" s="1065"/>
      <c r="B2299" s="1076"/>
      <c r="C2299" s="339" t="s">
        <v>501</v>
      </c>
      <c r="D2299" s="339">
        <v>2818000</v>
      </c>
      <c r="E2299" s="303" t="s">
        <v>1168</v>
      </c>
      <c r="F2299" s="303" t="s">
        <v>862</v>
      </c>
      <c r="G2299" s="339">
        <v>2500000</v>
      </c>
      <c r="H2299" s="511">
        <v>42906</v>
      </c>
      <c r="I2299" s="302"/>
      <c r="J2299" s="303"/>
      <c r="K2299" s="303"/>
      <c r="L2299" s="511"/>
      <c r="M2299" s="303"/>
      <c r="N2299" s="928">
        <v>0</v>
      </c>
      <c r="O2299" s="733"/>
      <c r="P2299" s="176">
        <v>2017</v>
      </c>
      <c r="Q2299" s="497"/>
      <c r="R2299" s="496"/>
      <c r="S2299" s="2"/>
      <c r="T2299" s="2"/>
      <c r="U2299" s="2"/>
      <c r="V2299" s="2"/>
    </row>
    <row r="2300" spans="1:22" s="8" customFormat="1" ht="49.5" x14ac:dyDescent="0.25">
      <c r="A2300" s="1065"/>
      <c r="B2300" s="1076"/>
      <c r="C2300" s="356" t="s">
        <v>37</v>
      </c>
      <c r="D2300" s="357">
        <f>71592.76*1.18</f>
        <v>84479.456799999985</v>
      </c>
      <c r="E2300" s="690" t="s">
        <v>622</v>
      </c>
      <c r="F2300" s="361" t="s">
        <v>614</v>
      </c>
      <c r="G2300" s="357">
        <f>D2300*0.99999965591</f>
        <v>84479.427731463686</v>
      </c>
      <c r="H2300" s="360">
        <v>42384</v>
      </c>
      <c r="I2300" s="360">
        <v>42510</v>
      </c>
      <c r="J2300" s="361">
        <v>71591.94</v>
      </c>
      <c r="K2300" s="361">
        <v>71591.94</v>
      </c>
      <c r="L2300" s="360">
        <v>42724</v>
      </c>
      <c r="M2300" s="361"/>
      <c r="N2300" s="539"/>
      <c r="O2300" s="466"/>
      <c r="P2300" s="176"/>
      <c r="Q2300" s="497"/>
      <c r="R2300" s="496"/>
      <c r="S2300" s="2"/>
      <c r="T2300" s="2"/>
      <c r="U2300" s="2"/>
      <c r="V2300" s="2"/>
    </row>
    <row r="2301" spans="1:22" s="8" customFormat="1" ht="17.25" thickBot="1" x14ac:dyDescent="0.3">
      <c r="A2301" s="1066" t="s">
        <v>628</v>
      </c>
      <c r="B2301" s="1066"/>
      <c r="C2301" s="339"/>
      <c r="D2301" s="945">
        <f>SUM(D2296:D2300)</f>
        <v>5372869.1688000001</v>
      </c>
      <c r="E2301" s="942"/>
      <c r="F2301" s="943"/>
      <c r="G2301" s="945">
        <f>SUM(G2296:G2300)</f>
        <v>5680861.5197314639</v>
      </c>
      <c r="H2301" s="941"/>
      <c r="I2301" s="172"/>
      <c r="J2301" s="952">
        <f>SUM(J2296:J2300)</f>
        <v>2533779</v>
      </c>
      <c r="K2301" s="945">
        <f>SUM(K2296:K2300)</f>
        <v>2533779</v>
      </c>
      <c r="L2301" s="340"/>
      <c r="M2301" s="945"/>
      <c r="N2301" s="933">
        <f>AVERAGE(N2296:N2300)</f>
        <v>0.66666666666666663</v>
      </c>
      <c r="O2301" s="734"/>
      <c r="P2301" s="176"/>
      <c r="Q2301" s="497"/>
      <c r="R2301" s="496"/>
      <c r="S2301" s="2"/>
      <c r="T2301" s="2"/>
      <c r="U2301" s="2"/>
      <c r="V2301" s="2"/>
    </row>
    <row r="2302" spans="1:22" s="8" customFormat="1" ht="19.5" customHeight="1" outlineLevel="1" x14ac:dyDescent="0.25">
      <c r="A2302" s="939"/>
      <c r="B2302" s="1066" t="s">
        <v>1097</v>
      </c>
      <c r="C2302" s="1066"/>
      <c r="D2302" s="945">
        <v>16620981.92</v>
      </c>
      <c r="E2302" s="942"/>
      <c r="F2302" s="943"/>
      <c r="G2302" s="945">
        <f>SUM(G2303:G2402)</f>
        <v>16375957.559999999</v>
      </c>
      <c r="H2302" s="941"/>
      <c r="I2302" s="172"/>
      <c r="J2302" s="339"/>
      <c r="K2302" s="945"/>
      <c r="L2302" s="340"/>
      <c r="M2302" s="945"/>
      <c r="N2302" s="935"/>
      <c r="O2302" s="332"/>
      <c r="P2302" s="241"/>
      <c r="Q2302" s="446"/>
      <c r="R2302" s="335"/>
      <c r="S2302" s="2"/>
      <c r="T2302" s="2"/>
      <c r="U2302" s="2"/>
      <c r="V2302" s="2"/>
    </row>
    <row r="2303" spans="1:22" s="8" customFormat="1" ht="45.75" customHeight="1" outlineLevel="1" x14ac:dyDescent="0.25">
      <c r="A2303" s="939"/>
      <c r="B2303" s="961" t="s">
        <v>1355</v>
      </c>
      <c r="C2303" s="337" t="s">
        <v>37</v>
      </c>
      <c r="D2303" s="945"/>
      <c r="E2303" s="999" t="s">
        <v>1302</v>
      </c>
      <c r="F2303" s="1000" t="s">
        <v>1303</v>
      </c>
      <c r="G2303" s="169">
        <v>60000</v>
      </c>
      <c r="H2303" s="1133" t="s">
        <v>1461</v>
      </c>
      <c r="I2303" s="172"/>
      <c r="J2303" s="339"/>
      <c r="K2303" s="945"/>
      <c r="L2303" s="340"/>
      <c r="M2303" s="945"/>
      <c r="N2303" s="584"/>
      <c r="O2303" s="342"/>
      <c r="P2303" s="343"/>
      <c r="Q2303" s="412"/>
      <c r="R2303" s="335"/>
      <c r="S2303" s="2"/>
      <c r="T2303" s="2"/>
      <c r="U2303" s="2"/>
      <c r="V2303" s="2"/>
    </row>
    <row r="2304" spans="1:22" s="8" customFormat="1" ht="42" customHeight="1" outlineLevel="1" x14ac:dyDescent="0.25">
      <c r="A2304" s="939"/>
      <c r="B2304" s="961" t="s">
        <v>1300</v>
      </c>
      <c r="C2304" s="337" t="s">
        <v>37</v>
      </c>
      <c r="D2304" s="945"/>
      <c r="E2304" s="999"/>
      <c r="F2304" s="1000"/>
      <c r="G2304" s="169">
        <v>112000</v>
      </c>
      <c r="H2304" s="1133"/>
      <c r="I2304" s="172"/>
      <c r="J2304" s="339"/>
      <c r="K2304" s="945"/>
      <c r="L2304" s="340"/>
      <c r="M2304" s="945"/>
      <c r="N2304" s="584"/>
      <c r="O2304" s="342"/>
      <c r="P2304" s="343"/>
      <c r="Q2304" s="412"/>
      <c r="R2304" s="335"/>
      <c r="S2304" s="2"/>
      <c r="T2304" s="2"/>
      <c r="U2304" s="2"/>
      <c r="V2304" s="2"/>
    </row>
    <row r="2305" spans="1:22" s="8" customFormat="1" ht="46.5" customHeight="1" outlineLevel="1" x14ac:dyDescent="0.25">
      <c r="A2305" s="939"/>
      <c r="B2305" s="961" t="s">
        <v>1318</v>
      </c>
      <c r="C2305" s="337" t="s">
        <v>37</v>
      </c>
      <c r="D2305" s="945"/>
      <c r="E2305" s="999"/>
      <c r="F2305" s="1000"/>
      <c r="G2305" s="169">
        <v>173500</v>
      </c>
      <c r="H2305" s="1133"/>
      <c r="I2305" s="172"/>
      <c r="J2305" s="339"/>
      <c r="K2305" s="945"/>
      <c r="L2305" s="340"/>
      <c r="M2305" s="945"/>
      <c r="N2305" s="584"/>
      <c r="O2305" s="342"/>
      <c r="P2305" s="343"/>
      <c r="Q2305" s="412"/>
      <c r="R2305" s="335"/>
      <c r="S2305" s="2"/>
      <c r="T2305" s="2"/>
      <c r="U2305" s="2"/>
      <c r="V2305" s="2"/>
    </row>
    <row r="2306" spans="1:22" s="8" customFormat="1" ht="37.5" customHeight="1" outlineLevel="1" x14ac:dyDescent="0.25">
      <c r="A2306" s="939"/>
      <c r="B2306" s="961" t="s">
        <v>1319</v>
      </c>
      <c r="C2306" s="337" t="s">
        <v>37</v>
      </c>
      <c r="D2306" s="945"/>
      <c r="E2306" s="999"/>
      <c r="F2306" s="1000"/>
      <c r="G2306" s="169">
        <v>90500</v>
      </c>
      <c r="H2306" s="1133"/>
      <c r="I2306" s="172"/>
      <c r="J2306" s="339"/>
      <c r="K2306" s="945"/>
      <c r="L2306" s="340"/>
      <c r="M2306" s="945"/>
      <c r="N2306" s="584"/>
      <c r="O2306" s="342"/>
      <c r="P2306" s="343"/>
      <c r="Q2306" s="412"/>
      <c r="R2306" s="335"/>
      <c r="S2306" s="2"/>
      <c r="T2306" s="2"/>
      <c r="U2306" s="2"/>
      <c r="V2306" s="2"/>
    </row>
    <row r="2307" spans="1:22" s="8" customFormat="1" ht="35.25" customHeight="1" outlineLevel="1" x14ac:dyDescent="0.25">
      <c r="A2307" s="939"/>
      <c r="B2307" s="961" t="s">
        <v>1320</v>
      </c>
      <c r="C2307" s="337" t="s">
        <v>37</v>
      </c>
      <c r="D2307" s="945"/>
      <c r="E2307" s="999"/>
      <c r="F2307" s="1000"/>
      <c r="G2307" s="169">
        <v>82500</v>
      </c>
      <c r="H2307" s="1133"/>
      <c r="I2307" s="172"/>
      <c r="J2307" s="339"/>
      <c r="K2307" s="945"/>
      <c r="L2307" s="340"/>
      <c r="M2307" s="945"/>
      <c r="N2307" s="584"/>
      <c r="O2307" s="342"/>
      <c r="P2307" s="343"/>
      <c r="Q2307" s="412"/>
      <c r="R2307" s="335"/>
      <c r="S2307" s="2"/>
      <c r="T2307" s="2"/>
      <c r="U2307" s="2"/>
      <c r="V2307" s="2"/>
    </row>
    <row r="2308" spans="1:22" s="8" customFormat="1" ht="41.25" customHeight="1" outlineLevel="1" x14ac:dyDescent="0.25">
      <c r="A2308" s="939"/>
      <c r="B2308" s="961" t="s">
        <v>1321</v>
      </c>
      <c r="C2308" s="337" t="s">
        <v>37</v>
      </c>
      <c r="D2308" s="945"/>
      <c r="E2308" s="999"/>
      <c r="F2308" s="1000"/>
      <c r="G2308" s="169">
        <v>91500</v>
      </c>
      <c r="H2308" s="1133"/>
      <c r="I2308" s="172"/>
      <c r="J2308" s="339"/>
      <c r="K2308" s="945"/>
      <c r="L2308" s="340"/>
      <c r="M2308" s="945"/>
      <c r="N2308" s="584"/>
      <c r="O2308" s="342"/>
      <c r="P2308" s="343"/>
      <c r="Q2308" s="412"/>
      <c r="R2308" s="335"/>
      <c r="S2308" s="2"/>
      <c r="T2308" s="2"/>
      <c r="U2308" s="2"/>
      <c r="V2308" s="2"/>
    </row>
    <row r="2309" spans="1:22" s="8" customFormat="1" ht="33" customHeight="1" outlineLevel="1" x14ac:dyDescent="0.25">
      <c r="A2309" s="939"/>
      <c r="B2309" s="961" t="s">
        <v>1322</v>
      </c>
      <c r="C2309" s="337" t="s">
        <v>37</v>
      </c>
      <c r="D2309" s="945"/>
      <c r="E2309" s="999"/>
      <c r="F2309" s="1000"/>
      <c r="G2309" s="169">
        <v>83500</v>
      </c>
      <c r="H2309" s="1133"/>
      <c r="I2309" s="172"/>
      <c r="J2309" s="339"/>
      <c r="K2309" s="945"/>
      <c r="L2309" s="340"/>
      <c r="M2309" s="945"/>
      <c r="N2309" s="584"/>
      <c r="O2309" s="342"/>
      <c r="P2309" s="343"/>
      <c r="Q2309" s="412"/>
      <c r="R2309" s="335"/>
      <c r="S2309" s="2"/>
      <c r="T2309" s="2"/>
      <c r="U2309" s="2"/>
      <c r="V2309" s="2"/>
    </row>
    <row r="2310" spans="1:22" s="8" customFormat="1" ht="34.5" customHeight="1" outlineLevel="1" x14ac:dyDescent="0.25">
      <c r="A2310" s="939"/>
      <c r="B2310" s="961" t="s">
        <v>1323</v>
      </c>
      <c r="C2310" s="337" t="s">
        <v>37</v>
      </c>
      <c r="D2310" s="945"/>
      <c r="E2310" s="999"/>
      <c r="F2310" s="1000"/>
      <c r="G2310" s="169">
        <v>96500</v>
      </c>
      <c r="H2310" s="1133"/>
      <c r="I2310" s="172"/>
      <c r="J2310" s="339"/>
      <c r="K2310" s="945"/>
      <c r="L2310" s="340"/>
      <c r="M2310" s="945"/>
      <c r="N2310" s="584"/>
      <c r="O2310" s="342"/>
      <c r="P2310" s="343"/>
      <c r="Q2310" s="412"/>
      <c r="R2310" s="335"/>
      <c r="S2310" s="2"/>
      <c r="T2310" s="2"/>
      <c r="U2310" s="2"/>
      <c r="V2310" s="2"/>
    </row>
    <row r="2311" spans="1:22" s="8" customFormat="1" ht="44.25" customHeight="1" outlineLevel="1" x14ac:dyDescent="0.25">
      <c r="A2311" s="939"/>
      <c r="B2311" s="961" t="s">
        <v>1324</v>
      </c>
      <c r="C2311" s="337" t="s">
        <v>37</v>
      </c>
      <c r="D2311" s="945"/>
      <c r="E2311" s="999"/>
      <c r="F2311" s="1000"/>
      <c r="G2311" s="169">
        <v>97000</v>
      </c>
      <c r="H2311" s="1133"/>
      <c r="I2311" s="172"/>
      <c r="J2311" s="339"/>
      <c r="K2311" s="945"/>
      <c r="L2311" s="340"/>
      <c r="M2311" s="945"/>
      <c r="N2311" s="584"/>
      <c r="O2311" s="342"/>
      <c r="P2311" s="343"/>
      <c r="Q2311" s="412"/>
      <c r="R2311" s="335"/>
      <c r="S2311" s="2"/>
      <c r="T2311" s="2"/>
      <c r="U2311" s="2"/>
      <c r="V2311" s="2"/>
    </row>
    <row r="2312" spans="1:22" s="8" customFormat="1" ht="36" customHeight="1" outlineLevel="1" x14ac:dyDescent="0.25">
      <c r="A2312" s="939"/>
      <c r="B2312" s="961" t="s">
        <v>1325</v>
      </c>
      <c r="C2312" s="337" t="s">
        <v>37</v>
      </c>
      <c r="D2312" s="945"/>
      <c r="E2312" s="999"/>
      <c r="F2312" s="1000"/>
      <c r="G2312" s="169">
        <v>169500</v>
      </c>
      <c r="H2312" s="1133"/>
      <c r="I2312" s="172"/>
      <c r="J2312" s="339"/>
      <c r="K2312" s="945"/>
      <c r="L2312" s="340"/>
      <c r="M2312" s="945"/>
      <c r="N2312" s="584"/>
      <c r="O2312" s="342"/>
      <c r="P2312" s="343"/>
      <c r="Q2312" s="412"/>
      <c r="R2312" s="335"/>
      <c r="S2312" s="2"/>
      <c r="T2312" s="2"/>
      <c r="U2312" s="2"/>
      <c r="V2312" s="2"/>
    </row>
    <row r="2313" spans="1:22" s="8" customFormat="1" ht="36" customHeight="1" outlineLevel="1" x14ac:dyDescent="0.25">
      <c r="A2313" s="939"/>
      <c r="B2313" s="961" t="s">
        <v>1326</v>
      </c>
      <c r="C2313" s="337" t="s">
        <v>37</v>
      </c>
      <c r="D2313" s="945"/>
      <c r="E2313" s="999"/>
      <c r="F2313" s="1000"/>
      <c r="G2313" s="169">
        <v>63000</v>
      </c>
      <c r="H2313" s="1133"/>
      <c r="I2313" s="172"/>
      <c r="J2313" s="339"/>
      <c r="K2313" s="945"/>
      <c r="L2313" s="340"/>
      <c r="M2313" s="945"/>
      <c r="N2313" s="584"/>
      <c r="O2313" s="342"/>
      <c r="P2313" s="343"/>
      <c r="Q2313" s="412"/>
      <c r="R2313" s="335"/>
      <c r="S2313" s="2"/>
      <c r="T2313" s="2"/>
      <c r="U2313" s="2"/>
      <c r="V2313" s="2"/>
    </row>
    <row r="2314" spans="1:22" s="8" customFormat="1" ht="39" customHeight="1" outlineLevel="1" x14ac:dyDescent="0.25">
      <c r="A2314" s="939"/>
      <c r="B2314" s="961" t="s">
        <v>1327</v>
      </c>
      <c r="C2314" s="337" t="s">
        <v>37</v>
      </c>
      <c r="D2314" s="945"/>
      <c r="E2314" s="999"/>
      <c r="F2314" s="1000"/>
      <c r="G2314" s="169">
        <v>82500</v>
      </c>
      <c r="H2314" s="1133"/>
      <c r="I2314" s="172"/>
      <c r="J2314" s="339"/>
      <c r="K2314" s="945"/>
      <c r="L2314" s="340"/>
      <c r="M2314" s="945"/>
      <c r="N2314" s="584"/>
      <c r="O2314" s="342"/>
      <c r="P2314" s="343"/>
      <c r="Q2314" s="412"/>
      <c r="R2314" s="335"/>
      <c r="S2314" s="2"/>
      <c r="T2314" s="2"/>
      <c r="U2314" s="2"/>
      <c r="V2314" s="2"/>
    </row>
    <row r="2315" spans="1:22" s="8" customFormat="1" ht="34.5" customHeight="1" outlineLevel="1" x14ac:dyDescent="0.25">
      <c r="A2315" s="939"/>
      <c r="B2315" s="961" t="s">
        <v>1328</v>
      </c>
      <c r="C2315" s="337" t="s">
        <v>37</v>
      </c>
      <c r="D2315" s="945"/>
      <c r="E2315" s="999"/>
      <c r="F2315" s="1000"/>
      <c r="G2315" s="169">
        <v>40000</v>
      </c>
      <c r="H2315" s="1133"/>
      <c r="I2315" s="172"/>
      <c r="J2315" s="339"/>
      <c r="K2315" s="945"/>
      <c r="L2315" s="340"/>
      <c r="M2315" s="945"/>
      <c r="N2315" s="584"/>
      <c r="O2315" s="342"/>
      <c r="P2315" s="343"/>
      <c r="Q2315" s="412"/>
      <c r="R2315" s="335"/>
      <c r="S2315" s="2"/>
      <c r="T2315" s="2"/>
      <c r="U2315" s="2"/>
      <c r="V2315" s="2"/>
    </row>
    <row r="2316" spans="1:22" s="8" customFormat="1" ht="28.5" customHeight="1" outlineLevel="1" x14ac:dyDescent="0.25">
      <c r="A2316" s="939"/>
      <c r="B2316" s="961" t="s">
        <v>1329</v>
      </c>
      <c r="C2316" s="337" t="s">
        <v>37</v>
      </c>
      <c r="D2316" s="945"/>
      <c r="E2316" s="999"/>
      <c r="F2316" s="1000"/>
      <c r="G2316" s="169">
        <v>161000</v>
      </c>
      <c r="H2316" s="1133"/>
      <c r="I2316" s="172"/>
      <c r="J2316" s="339"/>
      <c r="K2316" s="945"/>
      <c r="L2316" s="340"/>
      <c r="M2316" s="945"/>
      <c r="N2316" s="584"/>
      <c r="O2316" s="342"/>
      <c r="P2316" s="343"/>
      <c r="Q2316" s="412"/>
      <c r="R2316" s="335"/>
      <c r="S2316" s="2"/>
      <c r="T2316" s="2"/>
      <c r="U2316" s="2"/>
      <c r="V2316" s="2"/>
    </row>
    <row r="2317" spans="1:22" s="8" customFormat="1" ht="36.75" customHeight="1" outlineLevel="1" x14ac:dyDescent="0.25">
      <c r="A2317" s="939"/>
      <c r="B2317" s="961" t="s">
        <v>1330</v>
      </c>
      <c r="C2317" s="337" t="s">
        <v>37</v>
      </c>
      <c r="D2317" s="945"/>
      <c r="E2317" s="999"/>
      <c r="F2317" s="1000"/>
      <c r="G2317" s="169">
        <v>166500</v>
      </c>
      <c r="H2317" s="1133"/>
      <c r="I2317" s="172"/>
      <c r="J2317" s="339"/>
      <c r="K2317" s="945"/>
      <c r="L2317" s="340"/>
      <c r="M2317" s="945"/>
      <c r="N2317" s="584"/>
      <c r="O2317" s="342"/>
      <c r="P2317" s="343"/>
      <c r="Q2317" s="412"/>
      <c r="R2317" s="335"/>
      <c r="S2317" s="2"/>
      <c r="T2317" s="2"/>
      <c r="U2317" s="2"/>
      <c r="V2317" s="2"/>
    </row>
    <row r="2318" spans="1:22" s="8" customFormat="1" ht="29.25" customHeight="1" outlineLevel="1" x14ac:dyDescent="0.25">
      <c r="A2318" s="939"/>
      <c r="B2318" s="961" t="s">
        <v>1331</v>
      </c>
      <c r="C2318" s="337" t="s">
        <v>37</v>
      </c>
      <c r="D2318" s="945"/>
      <c r="E2318" s="999"/>
      <c r="F2318" s="1000"/>
      <c r="G2318" s="169">
        <v>81500</v>
      </c>
      <c r="H2318" s="1133"/>
      <c r="I2318" s="172"/>
      <c r="J2318" s="339"/>
      <c r="K2318" s="945"/>
      <c r="L2318" s="340"/>
      <c r="M2318" s="945"/>
      <c r="N2318" s="584"/>
      <c r="O2318" s="342"/>
      <c r="P2318" s="343"/>
      <c r="Q2318" s="412"/>
      <c r="R2318" s="335"/>
      <c r="S2318" s="2"/>
      <c r="T2318" s="2"/>
      <c r="U2318" s="2"/>
      <c r="V2318" s="2"/>
    </row>
    <row r="2319" spans="1:22" s="8" customFormat="1" ht="36" customHeight="1" outlineLevel="1" x14ac:dyDescent="0.25">
      <c r="A2319" s="939"/>
      <c r="B2319" s="961" t="s">
        <v>1332</v>
      </c>
      <c r="C2319" s="337" t="s">
        <v>37</v>
      </c>
      <c r="D2319" s="945"/>
      <c r="E2319" s="999"/>
      <c r="F2319" s="1000"/>
      <c r="G2319" s="169">
        <v>89500</v>
      </c>
      <c r="H2319" s="1133"/>
      <c r="I2319" s="172"/>
      <c r="J2319" s="339"/>
      <c r="K2319" s="945"/>
      <c r="L2319" s="340"/>
      <c r="M2319" s="945"/>
      <c r="N2319" s="584"/>
      <c r="O2319" s="342"/>
      <c r="P2319" s="343"/>
      <c r="Q2319" s="412"/>
      <c r="R2319" s="335"/>
      <c r="S2319" s="2"/>
      <c r="T2319" s="2"/>
      <c r="U2319" s="2"/>
      <c r="V2319" s="2"/>
    </row>
    <row r="2320" spans="1:22" s="8" customFormat="1" ht="36.75" customHeight="1" outlineLevel="1" x14ac:dyDescent="0.25">
      <c r="A2320" s="939"/>
      <c r="B2320" s="961" t="s">
        <v>1333</v>
      </c>
      <c r="C2320" s="337" t="s">
        <v>37</v>
      </c>
      <c r="D2320" s="945"/>
      <c r="E2320" s="999"/>
      <c r="F2320" s="1000"/>
      <c r="G2320" s="169">
        <v>93000</v>
      </c>
      <c r="H2320" s="1133"/>
      <c r="I2320" s="172"/>
      <c r="J2320" s="339"/>
      <c r="K2320" s="945"/>
      <c r="L2320" s="340"/>
      <c r="M2320" s="945"/>
      <c r="N2320" s="584"/>
      <c r="O2320" s="342"/>
      <c r="P2320" s="343"/>
      <c r="Q2320" s="412"/>
      <c r="R2320" s="335"/>
      <c r="S2320" s="2"/>
      <c r="T2320" s="2"/>
      <c r="U2320" s="2"/>
      <c r="V2320" s="2"/>
    </row>
    <row r="2321" spans="1:22" s="8" customFormat="1" ht="34.5" customHeight="1" outlineLevel="1" x14ac:dyDescent="0.25">
      <c r="A2321" s="939"/>
      <c r="B2321" s="961" t="s">
        <v>1301</v>
      </c>
      <c r="C2321" s="337" t="s">
        <v>37</v>
      </c>
      <c r="D2321" s="945"/>
      <c r="E2321" s="999"/>
      <c r="F2321" s="1000"/>
      <c r="G2321" s="169">
        <v>86500</v>
      </c>
      <c r="H2321" s="1133"/>
      <c r="I2321" s="172"/>
      <c r="J2321" s="339"/>
      <c r="K2321" s="945"/>
      <c r="L2321" s="340"/>
      <c r="M2321" s="945"/>
      <c r="N2321" s="584"/>
      <c r="O2321" s="342"/>
      <c r="P2321" s="343"/>
      <c r="Q2321" s="412"/>
      <c r="R2321" s="335"/>
      <c r="S2321" s="2"/>
      <c r="T2321" s="2"/>
      <c r="U2321" s="2"/>
      <c r="V2321" s="2"/>
    </row>
    <row r="2322" spans="1:22" s="8" customFormat="1" ht="34.5" customHeight="1" outlineLevel="1" x14ac:dyDescent="0.25">
      <c r="A2322" s="939"/>
      <c r="B2322" s="962" t="s">
        <v>1304</v>
      </c>
      <c r="C2322" s="337" t="s">
        <v>37</v>
      </c>
      <c r="D2322" s="945"/>
      <c r="E2322" s="999" t="s">
        <v>1334</v>
      </c>
      <c r="F2322" s="1000" t="s">
        <v>1335</v>
      </c>
      <c r="G2322" s="169">
        <v>78397.05</v>
      </c>
      <c r="H2322" s="1133">
        <v>42795</v>
      </c>
      <c r="I2322" s="172"/>
      <c r="J2322" s="339"/>
      <c r="K2322" s="945"/>
      <c r="L2322" s="340"/>
      <c r="M2322" s="945"/>
      <c r="N2322" s="586"/>
      <c r="O2322" s="839"/>
      <c r="P2322" s="936"/>
      <c r="Q2322" s="412"/>
      <c r="R2322" s="335"/>
      <c r="S2322" s="2"/>
      <c r="T2322" s="2"/>
      <c r="U2322" s="2"/>
      <c r="V2322" s="2"/>
    </row>
    <row r="2323" spans="1:22" s="8" customFormat="1" ht="34.5" customHeight="1" outlineLevel="1" x14ac:dyDescent="0.25">
      <c r="A2323" s="939"/>
      <c r="B2323" s="962" t="s">
        <v>1305</v>
      </c>
      <c r="C2323" s="337" t="s">
        <v>37</v>
      </c>
      <c r="D2323" s="945"/>
      <c r="E2323" s="999"/>
      <c r="F2323" s="1000"/>
      <c r="G2323" s="169">
        <v>78981.259999999995</v>
      </c>
      <c r="H2323" s="1133"/>
      <c r="I2323" s="172"/>
      <c r="J2323" s="339"/>
      <c r="K2323" s="945"/>
      <c r="L2323" s="340"/>
      <c r="M2323" s="945"/>
      <c r="N2323" s="586"/>
      <c r="O2323" s="839"/>
      <c r="P2323" s="936"/>
      <c r="Q2323" s="412"/>
      <c r="R2323" s="335"/>
      <c r="S2323" s="2"/>
      <c r="T2323" s="2"/>
      <c r="U2323" s="2"/>
      <c r="V2323" s="2"/>
    </row>
    <row r="2324" spans="1:22" s="8" customFormat="1" ht="34.5" customHeight="1" outlineLevel="1" x14ac:dyDescent="0.25">
      <c r="A2324" s="939"/>
      <c r="B2324" s="962" t="s">
        <v>1306</v>
      </c>
      <c r="C2324" s="337" t="s">
        <v>37</v>
      </c>
      <c r="D2324" s="945"/>
      <c r="E2324" s="999"/>
      <c r="F2324" s="1000"/>
      <c r="G2324" s="169">
        <v>78290.97</v>
      </c>
      <c r="H2324" s="1133"/>
      <c r="I2324" s="172"/>
      <c r="J2324" s="339"/>
      <c r="K2324" s="945"/>
      <c r="L2324" s="340"/>
      <c r="M2324" s="945"/>
      <c r="N2324" s="586"/>
      <c r="O2324" s="839"/>
      <c r="P2324" s="936"/>
      <c r="Q2324" s="412"/>
      <c r="R2324" s="335"/>
      <c r="S2324" s="2"/>
      <c r="T2324" s="2"/>
      <c r="U2324" s="2"/>
      <c r="V2324" s="2"/>
    </row>
    <row r="2325" spans="1:22" s="8" customFormat="1" ht="34.5" customHeight="1" outlineLevel="1" x14ac:dyDescent="0.25">
      <c r="A2325" s="939"/>
      <c r="B2325" s="962" t="s">
        <v>1307</v>
      </c>
      <c r="C2325" s="337" t="s">
        <v>37</v>
      </c>
      <c r="D2325" s="945"/>
      <c r="E2325" s="999"/>
      <c r="F2325" s="1000"/>
      <c r="G2325" s="169">
        <v>78336.42</v>
      </c>
      <c r="H2325" s="1133"/>
      <c r="I2325" s="172"/>
      <c r="J2325" s="339"/>
      <c r="K2325" s="945"/>
      <c r="L2325" s="340"/>
      <c r="M2325" s="945"/>
      <c r="N2325" s="586"/>
      <c r="O2325" s="839"/>
      <c r="P2325" s="936"/>
      <c r="Q2325" s="412"/>
      <c r="R2325" s="335"/>
      <c r="S2325" s="2"/>
      <c r="T2325" s="2"/>
      <c r="U2325" s="2"/>
      <c r="V2325" s="2"/>
    </row>
    <row r="2326" spans="1:22" s="8" customFormat="1" ht="34.5" customHeight="1" outlineLevel="1" x14ac:dyDescent="0.25">
      <c r="A2326" s="939"/>
      <c r="B2326" s="962" t="s">
        <v>1308</v>
      </c>
      <c r="C2326" s="337" t="s">
        <v>37</v>
      </c>
      <c r="D2326" s="945"/>
      <c r="E2326" s="999"/>
      <c r="F2326" s="1000"/>
      <c r="G2326" s="169">
        <v>66744.02</v>
      </c>
      <c r="H2326" s="1133"/>
      <c r="I2326" s="172"/>
      <c r="J2326" s="339"/>
      <c r="K2326" s="945"/>
      <c r="L2326" s="340"/>
      <c r="M2326" s="945"/>
      <c r="N2326" s="586"/>
      <c r="O2326" s="839"/>
      <c r="P2326" s="936"/>
      <c r="Q2326" s="412"/>
      <c r="R2326" s="335"/>
      <c r="S2326" s="2"/>
      <c r="T2326" s="2"/>
      <c r="U2326" s="2"/>
      <c r="V2326" s="2"/>
    </row>
    <row r="2327" spans="1:22" s="8" customFormat="1" ht="34.5" customHeight="1" outlineLevel="1" x14ac:dyDescent="0.25">
      <c r="A2327" s="939"/>
      <c r="B2327" s="962" t="s">
        <v>1309</v>
      </c>
      <c r="C2327" s="337" t="s">
        <v>37</v>
      </c>
      <c r="D2327" s="945"/>
      <c r="E2327" s="999"/>
      <c r="F2327" s="1000"/>
      <c r="G2327" s="169">
        <v>77154.45</v>
      </c>
      <c r="H2327" s="1133"/>
      <c r="I2327" s="172"/>
      <c r="J2327" s="339"/>
      <c r="K2327" s="945"/>
      <c r="L2327" s="340"/>
      <c r="M2327" s="945"/>
      <c r="N2327" s="586"/>
      <c r="O2327" s="839"/>
      <c r="P2327" s="936"/>
      <c r="Q2327" s="412"/>
      <c r="R2327" s="335"/>
      <c r="S2327" s="2"/>
      <c r="T2327" s="2"/>
      <c r="U2327" s="2"/>
      <c r="V2327" s="2"/>
    </row>
    <row r="2328" spans="1:22" s="8" customFormat="1" ht="34.5" customHeight="1" outlineLevel="1" x14ac:dyDescent="0.25">
      <c r="A2328" s="939"/>
      <c r="B2328" s="962" t="s">
        <v>1310</v>
      </c>
      <c r="C2328" s="337" t="s">
        <v>37</v>
      </c>
      <c r="D2328" s="945"/>
      <c r="E2328" s="999"/>
      <c r="F2328" s="1000"/>
      <c r="G2328" s="169">
        <v>69153.429999999993</v>
      </c>
      <c r="H2328" s="1133"/>
      <c r="I2328" s="172"/>
      <c r="J2328" s="339"/>
      <c r="K2328" s="945"/>
      <c r="L2328" s="340"/>
      <c r="M2328" s="945"/>
      <c r="N2328" s="586"/>
      <c r="O2328" s="839"/>
      <c r="P2328" s="936"/>
      <c r="Q2328" s="412"/>
      <c r="R2328" s="335"/>
      <c r="S2328" s="2"/>
      <c r="T2328" s="2"/>
      <c r="U2328" s="2"/>
      <c r="V2328" s="2"/>
    </row>
    <row r="2329" spans="1:22" s="8" customFormat="1" ht="34.5" customHeight="1" outlineLevel="1" x14ac:dyDescent="0.25">
      <c r="A2329" s="939"/>
      <c r="B2329" s="962" t="s">
        <v>1311</v>
      </c>
      <c r="C2329" s="337" t="s">
        <v>37</v>
      </c>
      <c r="D2329" s="945"/>
      <c r="E2329" s="999"/>
      <c r="F2329" s="1000"/>
      <c r="G2329" s="169">
        <v>78290.97</v>
      </c>
      <c r="H2329" s="1133"/>
      <c r="I2329" s="172"/>
      <c r="J2329" s="339"/>
      <c r="K2329" s="945"/>
      <c r="L2329" s="340"/>
      <c r="M2329" s="945"/>
      <c r="N2329" s="586"/>
      <c r="O2329" s="839"/>
      <c r="P2329" s="936"/>
      <c r="Q2329" s="412"/>
      <c r="R2329" s="335"/>
      <c r="S2329" s="2"/>
      <c r="T2329" s="2"/>
      <c r="U2329" s="2"/>
      <c r="V2329" s="2"/>
    </row>
    <row r="2330" spans="1:22" s="8" customFormat="1" ht="34.5" customHeight="1" outlineLevel="1" x14ac:dyDescent="0.25">
      <c r="A2330" s="939"/>
      <c r="B2330" s="962" t="s">
        <v>418</v>
      </c>
      <c r="C2330" s="337" t="s">
        <v>37</v>
      </c>
      <c r="D2330" s="945"/>
      <c r="E2330" s="999"/>
      <c r="F2330" s="1000"/>
      <c r="G2330" s="169">
        <v>98704.43</v>
      </c>
      <c r="H2330" s="1133"/>
      <c r="I2330" s="172"/>
      <c r="J2330" s="339"/>
      <c r="K2330" s="945"/>
      <c r="L2330" s="340"/>
      <c r="M2330" s="945"/>
      <c r="N2330" s="586"/>
      <c r="O2330" s="839"/>
      <c r="P2330" s="936"/>
      <c r="Q2330" s="412"/>
      <c r="R2330" s="335"/>
      <c r="S2330" s="2"/>
      <c r="T2330" s="2"/>
      <c r="U2330" s="2"/>
      <c r="V2330" s="2"/>
    </row>
    <row r="2331" spans="1:22" s="8" customFormat="1" ht="34.5" customHeight="1" outlineLevel="1" x14ac:dyDescent="0.25">
      <c r="A2331" s="939"/>
      <c r="B2331" s="962" t="s">
        <v>1312</v>
      </c>
      <c r="C2331" s="337" t="s">
        <v>37</v>
      </c>
      <c r="D2331" s="945"/>
      <c r="E2331" s="999"/>
      <c r="F2331" s="1000"/>
      <c r="G2331" s="169">
        <v>76627.19</v>
      </c>
      <c r="H2331" s="1133"/>
      <c r="I2331" s="172"/>
      <c r="J2331" s="339"/>
      <c r="K2331" s="945"/>
      <c r="L2331" s="340"/>
      <c r="M2331" s="945"/>
      <c r="N2331" s="586"/>
      <c r="O2331" s="839"/>
      <c r="P2331" s="936"/>
      <c r="Q2331" s="412"/>
      <c r="R2331" s="335"/>
      <c r="S2331" s="2"/>
      <c r="T2331" s="2"/>
      <c r="U2331" s="2"/>
      <c r="V2331" s="2"/>
    </row>
    <row r="2332" spans="1:22" s="8" customFormat="1" ht="34.5" customHeight="1" outlineLevel="1" x14ac:dyDescent="0.25">
      <c r="A2332" s="939"/>
      <c r="B2332" s="962" t="s">
        <v>1313</v>
      </c>
      <c r="C2332" s="337" t="s">
        <v>37</v>
      </c>
      <c r="D2332" s="945"/>
      <c r="E2332" s="999"/>
      <c r="F2332" s="1000"/>
      <c r="G2332" s="169">
        <v>79816.27</v>
      </c>
      <c r="H2332" s="1133"/>
      <c r="I2332" s="172"/>
      <c r="J2332" s="339"/>
      <c r="K2332" s="945"/>
      <c r="L2332" s="340"/>
      <c r="M2332" s="945"/>
      <c r="N2332" s="586"/>
      <c r="O2332" s="839"/>
      <c r="P2332" s="936"/>
      <c r="Q2332" s="412"/>
      <c r="R2332" s="335"/>
      <c r="S2332" s="2"/>
      <c r="T2332" s="2"/>
      <c r="U2332" s="2"/>
      <c r="V2332" s="2"/>
    </row>
    <row r="2333" spans="1:22" s="8" customFormat="1" ht="34.5" customHeight="1" outlineLevel="1" x14ac:dyDescent="0.25">
      <c r="A2333" s="939"/>
      <c r="B2333" s="962" t="s">
        <v>1314</v>
      </c>
      <c r="C2333" s="337" t="s">
        <v>37</v>
      </c>
      <c r="D2333" s="945"/>
      <c r="E2333" s="999"/>
      <c r="F2333" s="1000"/>
      <c r="G2333" s="169">
        <v>78033.350000000006</v>
      </c>
      <c r="H2333" s="1133"/>
      <c r="I2333" s="172"/>
      <c r="J2333" s="339"/>
      <c r="K2333" s="945"/>
      <c r="L2333" s="340"/>
      <c r="M2333" s="945"/>
      <c r="N2333" s="586"/>
      <c r="O2333" s="839"/>
      <c r="P2333" s="936"/>
      <c r="Q2333" s="412"/>
      <c r="R2333" s="335"/>
      <c r="S2333" s="2"/>
      <c r="T2333" s="2"/>
      <c r="U2333" s="2"/>
      <c r="V2333" s="2"/>
    </row>
    <row r="2334" spans="1:22" s="8" customFormat="1" ht="34.5" customHeight="1" outlineLevel="1" x14ac:dyDescent="0.25">
      <c r="A2334" s="939"/>
      <c r="B2334" s="962" t="s">
        <v>1315</v>
      </c>
      <c r="C2334" s="337" t="s">
        <v>37</v>
      </c>
      <c r="D2334" s="945"/>
      <c r="E2334" s="999"/>
      <c r="F2334" s="1000"/>
      <c r="G2334" s="169">
        <v>78169.740000000005</v>
      </c>
      <c r="H2334" s="1133"/>
      <c r="I2334" s="172"/>
      <c r="J2334" s="339"/>
      <c r="K2334" s="945"/>
      <c r="L2334" s="340"/>
      <c r="M2334" s="945"/>
      <c r="N2334" s="586"/>
      <c r="O2334" s="839"/>
      <c r="P2334" s="936"/>
      <c r="Q2334" s="412"/>
      <c r="R2334" s="335"/>
      <c r="S2334" s="2"/>
      <c r="T2334" s="2"/>
      <c r="U2334" s="2"/>
      <c r="V2334" s="2"/>
    </row>
    <row r="2335" spans="1:22" s="8" customFormat="1" ht="34.5" customHeight="1" outlineLevel="1" x14ac:dyDescent="0.25">
      <c r="A2335" s="939"/>
      <c r="B2335" s="962" t="s">
        <v>1316</v>
      </c>
      <c r="C2335" s="337" t="s">
        <v>37</v>
      </c>
      <c r="D2335" s="945"/>
      <c r="E2335" s="999"/>
      <c r="F2335" s="1000"/>
      <c r="G2335" s="169">
        <v>79414.850000000006</v>
      </c>
      <c r="H2335" s="1133"/>
      <c r="I2335" s="172"/>
      <c r="J2335" s="339"/>
      <c r="K2335" s="945"/>
      <c r="L2335" s="340"/>
      <c r="M2335" s="945"/>
      <c r="N2335" s="586"/>
      <c r="O2335" s="839"/>
      <c r="P2335" s="936"/>
      <c r="Q2335" s="412"/>
      <c r="R2335" s="335"/>
      <c r="S2335" s="2"/>
      <c r="T2335" s="2"/>
      <c r="U2335" s="2"/>
      <c r="V2335" s="2"/>
    </row>
    <row r="2336" spans="1:22" s="8" customFormat="1" ht="34.5" customHeight="1" outlineLevel="1" x14ac:dyDescent="0.25">
      <c r="A2336" s="939"/>
      <c r="B2336" s="962" t="s">
        <v>1317</v>
      </c>
      <c r="C2336" s="337" t="s">
        <v>37</v>
      </c>
      <c r="D2336" s="945"/>
      <c r="E2336" s="999"/>
      <c r="F2336" s="1000"/>
      <c r="G2336" s="169">
        <v>73638.84</v>
      </c>
      <c r="H2336" s="1133"/>
      <c r="I2336" s="172"/>
      <c r="J2336" s="339"/>
      <c r="K2336" s="945"/>
      <c r="L2336" s="340"/>
      <c r="M2336" s="945"/>
      <c r="N2336" s="586"/>
      <c r="O2336" s="839"/>
      <c r="P2336" s="936"/>
      <c r="Q2336" s="412"/>
      <c r="R2336" s="335"/>
      <c r="S2336" s="2"/>
      <c r="T2336" s="2"/>
      <c r="U2336" s="2"/>
      <c r="V2336" s="2"/>
    </row>
    <row r="2337" spans="1:22" s="8" customFormat="1" ht="34.5" customHeight="1" outlineLevel="1" x14ac:dyDescent="0.25">
      <c r="A2337" s="939"/>
      <c r="B2337" s="962" t="s">
        <v>1336</v>
      </c>
      <c r="C2337" s="337" t="s">
        <v>37</v>
      </c>
      <c r="D2337" s="945"/>
      <c r="E2337" s="999"/>
      <c r="F2337" s="1000"/>
      <c r="G2337" s="169">
        <v>84625.1</v>
      </c>
      <c r="H2337" s="1133"/>
      <c r="I2337" s="172"/>
      <c r="J2337" s="339"/>
      <c r="K2337" s="945"/>
      <c r="L2337" s="340"/>
      <c r="M2337" s="945"/>
      <c r="N2337" s="586"/>
      <c r="O2337" s="839"/>
      <c r="P2337" s="936"/>
      <c r="Q2337" s="412"/>
      <c r="R2337" s="335"/>
      <c r="S2337" s="2"/>
      <c r="T2337" s="2"/>
      <c r="U2337" s="2"/>
      <c r="V2337" s="2"/>
    </row>
    <row r="2338" spans="1:22" s="8" customFormat="1" ht="34.5" customHeight="1" outlineLevel="1" x14ac:dyDescent="0.25">
      <c r="A2338" s="939"/>
      <c r="B2338" s="962" t="s">
        <v>1337</v>
      </c>
      <c r="C2338" s="337" t="s">
        <v>37</v>
      </c>
      <c r="D2338" s="945"/>
      <c r="E2338" s="999"/>
      <c r="F2338" s="1000"/>
      <c r="G2338" s="169">
        <v>97987.93</v>
      </c>
      <c r="H2338" s="1133"/>
      <c r="I2338" s="172"/>
      <c r="J2338" s="339"/>
      <c r="K2338" s="945"/>
      <c r="L2338" s="340"/>
      <c r="M2338" s="945"/>
      <c r="N2338" s="586"/>
      <c r="O2338" s="839"/>
      <c r="P2338" s="936"/>
      <c r="Q2338" s="412"/>
      <c r="R2338" s="335"/>
      <c r="S2338" s="2"/>
      <c r="T2338" s="2"/>
      <c r="U2338" s="2"/>
      <c r="V2338" s="2"/>
    </row>
    <row r="2339" spans="1:22" s="8" customFormat="1" ht="34.5" customHeight="1" outlineLevel="1" x14ac:dyDescent="0.25">
      <c r="A2339" s="939"/>
      <c r="B2339" s="962" t="s">
        <v>1338</v>
      </c>
      <c r="C2339" s="337" t="s">
        <v>37</v>
      </c>
      <c r="D2339" s="945"/>
      <c r="E2339" s="999"/>
      <c r="F2339" s="1000"/>
      <c r="G2339" s="169">
        <v>99935.51</v>
      </c>
      <c r="H2339" s="1133"/>
      <c r="I2339" s="172"/>
      <c r="J2339" s="339"/>
      <c r="K2339" s="945"/>
      <c r="L2339" s="340"/>
      <c r="M2339" s="945"/>
      <c r="N2339" s="586"/>
      <c r="O2339" s="839"/>
      <c r="P2339" s="936"/>
      <c r="Q2339" s="412"/>
      <c r="R2339" s="335"/>
      <c r="S2339" s="2"/>
      <c r="T2339" s="2"/>
      <c r="U2339" s="2"/>
      <c r="V2339" s="2"/>
    </row>
    <row r="2340" spans="1:22" s="8" customFormat="1" ht="34.5" customHeight="1" outlineLevel="1" x14ac:dyDescent="0.25">
      <c r="A2340" s="939"/>
      <c r="B2340" s="962" t="s">
        <v>1339</v>
      </c>
      <c r="C2340" s="337" t="s">
        <v>37</v>
      </c>
      <c r="D2340" s="945"/>
      <c r="E2340" s="999"/>
      <c r="F2340" s="1000"/>
      <c r="G2340" s="169">
        <v>95895.7</v>
      </c>
      <c r="H2340" s="1133"/>
      <c r="I2340" s="172"/>
      <c r="J2340" s="339"/>
      <c r="K2340" s="945"/>
      <c r="L2340" s="340"/>
      <c r="M2340" s="945"/>
      <c r="N2340" s="586"/>
      <c r="O2340" s="839"/>
      <c r="P2340" s="936"/>
      <c r="Q2340" s="412"/>
      <c r="R2340" s="335"/>
      <c r="S2340" s="2"/>
      <c r="T2340" s="2"/>
      <c r="U2340" s="2"/>
      <c r="V2340" s="2"/>
    </row>
    <row r="2341" spans="1:22" s="8" customFormat="1" ht="34.5" customHeight="1" outlineLevel="1" x14ac:dyDescent="0.25">
      <c r="A2341" s="939"/>
      <c r="B2341" s="962" t="s">
        <v>1340</v>
      </c>
      <c r="C2341" s="337" t="s">
        <v>37</v>
      </c>
      <c r="D2341" s="945"/>
      <c r="E2341" s="999"/>
      <c r="F2341" s="1000"/>
      <c r="G2341" s="169">
        <v>104489.55</v>
      </c>
      <c r="H2341" s="1133"/>
      <c r="I2341" s="172"/>
      <c r="J2341" s="339"/>
      <c r="K2341" s="945"/>
      <c r="L2341" s="340"/>
      <c r="M2341" s="945"/>
      <c r="N2341" s="586"/>
      <c r="O2341" s="839"/>
      <c r="P2341" s="936"/>
      <c r="Q2341" s="412"/>
      <c r="R2341" s="335"/>
      <c r="S2341" s="2"/>
      <c r="T2341" s="2"/>
      <c r="U2341" s="2"/>
      <c r="V2341" s="2"/>
    </row>
    <row r="2342" spans="1:22" s="8" customFormat="1" ht="34.5" customHeight="1" outlineLevel="1" x14ac:dyDescent="0.25">
      <c r="A2342" s="939"/>
      <c r="B2342" s="962" t="s">
        <v>451</v>
      </c>
      <c r="C2342" s="337" t="s">
        <v>37</v>
      </c>
      <c r="D2342" s="945"/>
      <c r="E2342" s="999"/>
      <c r="F2342" s="1000"/>
      <c r="G2342" s="169">
        <v>107050.34</v>
      </c>
      <c r="H2342" s="1133"/>
      <c r="I2342" s="172"/>
      <c r="J2342" s="339"/>
      <c r="K2342" s="945"/>
      <c r="L2342" s="340"/>
      <c r="M2342" s="945"/>
      <c r="N2342" s="586"/>
      <c r="O2342" s="839"/>
      <c r="P2342" s="936"/>
      <c r="Q2342" s="412"/>
      <c r="R2342" s="335"/>
      <c r="S2342" s="2"/>
      <c r="T2342" s="2"/>
      <c r="U2342" s="2"/>
      <c r="V2342" s="2"/>
    </row>
    <row r="2343" spans="1:22" s="8" customFormat="1" ht="34.5" customHeight="1" outlineLevel="1" x14ac:dyDescent="0.25">
      <c r="A2343" s="939"/>
      <c r="B2343" s="962" t="s">
        <v>1341</v>
      </c>
      <c r="C2343" s="337" t="s">
        <v>37</v>
      </c>
      <c r="D2343" s="945"/>
      <c r="E2343" s="999"/>
      <c r="F2343" s="1000"/>
      <c r="G2343" s="169">
        <v>105339.46</v>
      </c>
      <c r="H2343" s="1133"/>
      <c r="I2343" s="172"/>
      <c r="J2343" s="339"/>
      <c r="K2343" s="945"/>
      <c r="L2343" s="340"/>
      <c r="M2343" s="945"/>
      <c r="N2343" s="586"/>
      <c r="O2343" s="839"/>
      <c r="P2343" s="936"/>
      <c r="Q2343" s="412"/>
      <c r="R2343" s="335"/>
      <c r="S2343" s="2"/>
      <c r="T2343" s="2"/>
      <c r="U2343" s="2"/>
      <c r="V2343" s="2"/>
    </row>
    <row r="2344" spans="1:22" s="8" customFormat="1" ht="34.5" customHeight="1" outlineLevel="1" x14ac:dyDescent="0.25">
      <c r="A2344" s="939"/>
      <c r="B2344" s="962" t="s">
        <v>1342</v>
      </c>
      <c r="C2344" s="337" t="s">
        <v>37</v>
      </c>
      <c r="D2344" s="945"/>
      <c r="E2344" s="999"/>
      <c r="F2344" s="1000"/>
      <c r="G2344" s="169">
        <v>99446.92</v>
      </c>
      <c r="H2344" s="1133"/>
      <c r="I2344" s="172"/>
      <c r="J2344" s="339"/>
      <c r="K2344" s="945"/>
      <c r="L2344" s="340"/>
      <c r="M2344" s="945"/>
      <c r="N2344" s="586"/>
      <c r="O2344" s="839"/>
      <c r="P2344" s="936"/>
      <c r="Q2344" s="412"/>
      <c r="R2344" s="335"/>
      <c r="S2344" s="2"/>
      <c r="T2344" s="2"/>
      <c r="U2344" s="2"/>
      <c r="V2344" s="2"/>
    </row>
    <row r="2345" spans="1:22" s="8" customFormat="1" ht="34.5" customHeight="1" outlineLevel="1" x14ac:dyDescent="0.25">
      <c r="A2345" s="939"/>
      <c r="B2345" s="962" t="s">
        <v>1343</v>
      </c>
      <c r="C2345" s="337" t="s">
        <v>37</v>
      </c>
      <c r="D2345" s="945"/>
      <c r="E2345" s="999"/>
      <c r="F2345" s="1000"/>
      <c r="G2345" s="169">
        <v>92693.11</v>
      </c>
      <c r="H2345" s="1133"/>
      <c r="I2345" s="172"/>
      <c r="J2345" s="339"/>
      <c r="K2345" s="945"/>
      <c r="L2345" s="340"/>
      <c r="M2345" s="945"/>
      <c r="N2345" s="586"/>
      <c r="O2345" s="839"/>
      <c r="P2345" s="936"/>
      <c r="Q2345" s="412"/>
      <c r="R2345" s="335"/>
      <c r="S2345" s="2"/>
      <c r="T2345" s="2"/>
      <c r="U2345" s="2"/>
      <c r="V2345" s="2"/>
    </row>
    <row r="2346" spans="1:22" s="8" customFormat="1" ht="34.5" customHeight="1" outlineLevel="1" x14ac:dyDescent="0.25">
      <c r="A2346" s="939"/>
      <c r="B2346" s="962" t="s">
        <v>1344</v>
      </c>
      <c r="C2346" s="337" t="s">
        <v>37</v>
      </c>
      <c r="D2346" s="945"/>
      <c r="E2346" s="999"/>
      <c r="F2346" s="1000"/>
      <c r="G2346" s="169">
        <v>100033.36</v>
      </c>
      <c r="H2346" s="1133"/>
      <c r="I2346" s="172"/>
      <c r="J2346" s="339"/>
      <c r="K2346" s="945"/>
      <c r="L2346" s="340"/>
      <c r="M2346" s="945"/>
      <c r="N2346" s="586"/>
      <c r="O2346" s="839"/>
      <c r="P2346" s="936"/>
      <c r="Q2346" s="412"/>
      <c r="R2346" s="335"/>
      <c r="S2346" s="2"/>
      <c r="T2346" s="2"/>
      <c r="U2346" s="2"/>
      <c r="V2346" s="2"/>
    </row>
    <row r="2347" spans="1:22" s="8" customFormat="1" ht="34.5" customHeight="1" outlineLevel="1" x14ac:dyDescent="0.25">
      <c r="A2347" s="939"/>
      <c r="B2347" s="962" t="s">
        <v>1345</v>
      </c>
      <c r="C2347" s="337" t="s">
        <v>37</v>
      </c>
      <c r="D2347" s="945"/>
      <c r="E2347" s="999"/>
      <c r="F2347" s="1000"/>
      <c r="G2347" s="169">
        <v>95358.14</v>
      </c>
      <c r="H2347" s="1133"/>
      <c r="I2347" s="172"/>
      <c r="J2347" s="339"/>
      <c r="K2347" s="945"/>
      <c r="L2347" s="340"/>
      <c r="M2347" s="945"/>
      <c r="N2347" s="586"/>
      <c r="O2347" s="839"/>
      <c r="P2347" s="936"/>
      <c r="Q2347" s="412"/>
      <c r="R2347" s="335"/>
      <c r="S2347" s="2"/>
      <c r="T2347" s="2"/>
      <c r="U2347" s="2"/>
      <c r="V2347" s="2"/>
    </row>
    <row r="2348" spans="1:22" s="8" customFormat="1" ht="34.5" customHeight="1" outlineLevel="1" x14ac:dyDescent="0.25">
      <c r="A2348" s="939"/>
      <c r="B2348" s="962" t="s">
        <v>1346</v>
      </c>
      <c r="C2348" s="337" t="s">
        <v>37</v>
      </c>
      <c r="D2348" s="945"/>
      <c r="E2348" s="999"/>
      <c r="F2348" s="1000"/>
      <c r="G2348" s="169">
        <v>105749.18</v>
      </c>
      <c r="H2348" s="1133"/>
      <c r="I2348" s="172"/>
      <c r="J2348" s="339"/>
      <c r="K2348" s="945"/>
      <c r="L2348" s="340"/>
      <c r="M2348" s="945"/>
      <c r="N2348" s="586"/>
      <c r="O2348" s="839"/>
      <c r="P2348" s="936"/>
      <c r="Q2348" s="412"/>
      <c r="R2348" s="335"/>
      <c r="S2348" s="2"/>
      <c r="T2348" s="2"/>
      <c r="U2348" s="2"/>
      <c r="V2348" s="2"/>
    </row>
    <row r="2349" spans="1:22" s="8" customFormat="1" ht="34.5" customHeight="1" outlineLevel="1" x14ac:dyDescent="0.25">
      <c r="A2349" s="939"/>
      <c r="B2349" s="962" t="s">
        <v>1347</v>
      </c>
      <c r="C2349" s="337" t="s">
        <v>37</v>
      </c>
      <c r="D2349" s="945"/>
      <c r="E2349" s="999"/>
      <c r="F2349" s="1000"/>
      <c r="G2349" s="169">
        <v>102555.06</v>
      </c>
      <c r="H2349" s="1133"/>
      <c r="I2349" s="172"/>
      <c r="J2349" s="339"/>
      <c r="K2349" s="945"/>
      <c r="L2349" s="340"/>
      <c r="M2349" s="945"/>
      <c r="N2349" s="586"/>
      <c r="O2349" s="839"/>
      <c r="P2349" s="936"/>
      <c r="Q2349" s="412"/>
      <c r="R2349" s="335"/>
      <c r="S2349" s="2"/>
      <c r="T2349" s="2"/>
      <c r="U2349" s="2"/>
      <c r="V2349" s="2"/>
    </row>
    <row r="2350" spans="1:22" s="8" customFormat="1" ht="34.5" customHeight="1" outlineLevel="1" x14ac:dyDescent="0.25">
      <c r="A2350" s="939"/>
      <c r="B2350" s="962" t="s">
        <v>1348</v>
      </c>
      <c r="C2350" s="337" t="s">
        <v>37</v>
      </c>
      <c r="D2350" s="945"/>
      <c r="E2350" s="999"/>
      <c r="F2350" s="1000"/>
      <c r="G2350" s="169">
        <v>296165.71999999997</v>
      </c>
      <c r="H2350" s="1133"/>
      <c r="I2350" s="172"/>
      <c r="J2350" s="339"/>
      <c r="K2350" s="945"/>
      <c r="L2350" s="340"/>
      <c r="M2350" s="945"/>
      <c r="N2350" s="586"/>
      <c r="O2350" s="839"/>
      <c r="P2350" s="936"/>
      <c r="Q2350" s="412"/>
      <c r="R2350" s="335"/>
      <c r="S2350" s="2"/>
      <c r="T2350" s="2"/>
      <c r="U2350" s="2"/>
      <c r="V2350" s="2"/>
    </row>
    <row r="2351" spans="1:22" s="8" customFormat="1" ht="34.5" customHeight="1" outlineLevel="1" x14ac:dyDescent="0.25">
      <c r="A2351" s="939"/>
      <c r="B2351" s="962" t="s">
        <v>1349</v>
      </c>
      <c r="C2351" s="337" t="s">
        <v>37</v>
      </c>
      <c r="D2351" s="945"/>
      <c r="E2351" s="999"/>
      <c r="F2351" s="1000"/>
      <c r="G2351" s="169">
        <v>295107.93</v>
      </c>
      <c r="H2351" s="1133"/>
      <c r="I2351" s="172"/>
      <c r="J2351" s="339"/>
      <c r="K2351" s="945"/>
      <c r="L2351" s="340"/>
      <c r="M2351" s="945"/>
      <c r="N2351" s="586"/>
      <c r="O2351" s="839"/>
      <c r="P2351" s="936"/>
      <c r="Q2351" s="412"/>
      <c r="R2351" s="335"/>
      <c r="S2351" s="2"/>
      <c r="T2351" s="2"/>
      <c r="U2351" s="2"/>
      <c r="V2351" s="2"/>
    </row>
    <row r="2352" spans="1:22" s="8" customFormat="1" ht="34.5" customHeight="1" outlineLevel="1" x14ac:dyDescent="0.25">
      <c r="A2352" s="939"/>
      <c r="B2352" s="962" t="s">
        <v>1350</v>
      </c>
      <c r="C2352" s="337" t="s">
        <v>37</v>
      </c>
      <c r="D2352" s="945"/>
      <c r="E2352" s="999"/>
      <c r="F2352" s="1000"/>
      <c r="G2352" s="169">
        <v>101753.04</v>
      </c>
      <c r="H2352" s="1133"/>
      <c r="I2352" s="172"/>
      <c r="J2352" s="339"/>
      <c r="K2352" s="945"/>
      <c r="L2352" s="340"/>
      <c r="M2352" s="945"/>
      <c r="N2352" s="586"/>
      <c r="O2352" s="839"/>
      <c r="P2352" s="936"/>
      <c r="Q2352" s="412"/>
      <c r="R2352" s="335"/>
      <c r="S2352" s="2"/>
      <c r="T2352" s="2"/>
      <c r="U2352" s="2"/>
      <c r="V2352" s="2"/>
    </row>
    <row r="2353" spans="1:22" s="8" customFormat="1" ht="34.5" customHeight="1" outlineLevel="1" x14ac:dyDescent="0.25">
      <c r="A2353" s="939"/>
      <c r="B2353" s="962" t="s">
        <v>1351</v>
      </c>
      <c r="C2353" s="337" t="s">
        <v>37</v>
      </c>
      <c r="D2353" s="945"/>
      <c r="E2353" s="999"/>
      <c r="F2353" s="1000"/>
      <c r="G2353" s="169">
        <v>311776.49</v>
      </c>
      <c r="H2353" s="1133"/>
      <c r="I2353" s="172"/>
      <c r="J2353" s="339"/>
      <c r="K2353" s="945"/>
      <c r="L2353" s="340"/>
      <c r="M2353" s="945"/>
      <c r="N2353" s="586"/>
      <c r="O2353" s="839"/>
      <c r="P2353" s="936"/>
      <c r="Q2353" s="412"/>
      <c r="R2353" s="335"/>
      <c r="S2353" s="2"/>
      <c r="T2353" s="2"/>
      <c r="U2353" s="2"/>
      <c r="V2353" s="2"/>
    </row>
    <row r="2354" spans="1:22" s="8" customFormat="1" ht="34.5" customHeight="1" outlineLevel="1" x14ac:dyDescent="0.25">
      <c r="A2354" s="939"/>
      <c r="B2354" s="962" t="s">
        <v>1352</v>
      </c>
      <c r="C2354" s="337" t="s">
        <v>37</v>
      </c>
      <c r="D2354" s="945"/>
      <c r="E2354" s="999"/>
      <c r="F2354" s="1000"/>
      <c r="G2354" s="169">
        <v>198752.96</v>
      </c>
      <c r="H2354" s="1133"/>
      <c r="I2354" s="172"/>
      <c r="J2354" s="339"/>
      <c r="K2354" s="945"/>
      <c r="L2354" s="340"/>
      <c r="M2354" s="945"/>
      <c r="N2354" s="586"/>
      <c r="O2354" s="839"/>
      <c r="P2354" s="936"/>
      <c r="Q2354" s="412"/>
      <c r="R2354" s="335"/>
      <c r="S2354" s="2"/>
      <c r="T2354" s="2"/>
      <c r="U2354" s="2"/>
      <c r="V2354" s="2"/>
    </row>
    <row r="2355" spans="1:22" s="8" customFormat="1" ht="34.5" customHeight="1" outlineLevel="1" x14ac:dyDescent="0.25">
      <c r="A2355" s="939"/>
      <c r="B2355" s="962" t="s">
        <v>1353</v>
      </c>
      <c r="C2355" s="337" t="s">
        <v>37</v>
      </c>
      <c r="D2355" s="945"/>
      <c r="E2355" s="999"/>
      <c r="F2355" s="1000"/>
      <c r="G2355" s="169">
        <v>200586.8</v>
      </c>
      <c r="H2355" s="1133"/>
      <c r="I2355" s="172"/>
      <c r="J2355" s="339"/>
      <c r="K2355" s="945"/>
      <c r="L2355" s="340"/>
      <c r="M2355" s="945"/>
      <c r="N2355" s="586"/>
      <c r="O2355" s="839"/>
      <c r="P2355" s="936"/>
      <c r="Q2355" s="412"/>
      <c r="R2355" s="335"/>
      <c r="S2355" s="2"/>
      <c r="T2355" s="2"/>
      <c r="U2355" s="2"/>
      <c r="V2355" s="2"/>
    </row>
    <row r="2356" spans="1:22" s="8" customFormat="1" ht="34.5" customHeight="1" outlineLevel="1" x14ac:dyDescent="0.25">
      <c r="A2356" s="939"/>
      <c r="B2356" s="962" t="s">
        <v>1354</v>
      </c>
      <c r="C2356" s="337" t="s">
        <v>37</v>
      </c>
      <c r="D2356" s="945"/>
      <c r="E2356" s="999"/>
      <c r="F2356" s="1000"/>
      <c r="G2356" s="169">
        <v>100333.43</v>
      </c>
      <c r="H2356" s="1133"/>
      <c r="I2356" s="172"/>
      <c r="J2356" s="339"/>
      <c r="K2356" s="945"/>
      <c r="L2356" s="340"/>
      <c r="M2356" s="945"/>
      <c r="N2356" s="586"/>
      <c r="O2356" s="839"/>
      <c r="P2356" s="936"/>
      <c r="Q2356" s="412"/>
      <c r="R2356" s="335"/>
      <c r="S2356" s="2"/>
      <c r="T2356" s="2"/>
      <c r="U2356" s="2"/>
      <c r="V2356" s="2"/>
    </row>
    <row r="2357" spans="1:22" s="8" customFormat="1" ht="34.5" customHeight="1" outlineLevel="1" x14ac:dyDescent="0.25">
      <c r="A2357" s="939"/>
      <c r="B2357" s="962" t="s">
        <v>1366</v>
      </c>
      <c r="C2357" s="337" t="s">
        <v>37</v>
      </c>
      <c r="D2357" s="945"/>
      <c r="E2357" s="999" t="s">
        <v>1364</v>
      </c>
      <c r="F2357" s="1000" t="s">
        <v>537</v>
      </c>
      <c r="G2357" s="963">
        <v>110792.62</v>
      </c>
      <c r="H2357" s="1133">
        <v>42724</v>
      </c>
      <c r="I2357" s="172"/>
      <c r="J2357" s="339"/>
      <c r="K2357" s="945"/>
      <c r="L2357" s="340"/>
      <c r="M2357" s="945"/>
      <c r="N2357" s="586"/>
      <c r="O2357" s="839"/>
      <c r="P2357" s="936"/>
      <c r="Q2357" s="412"/>
      <c r="R2357" s="335"/>
      <c r="S2357" s="2"/>
      <c r="T2357" s="2"/>
      <c r="U2357" s="2"/>
      <c r="V2357" s="2"/>
    </row>
    <row r="2358" spans="1:22" s="8" customFormat="1" ht="34.5" customHeight="1" outlineLevel="1" x14ac:dyDescent="0.25">
      <c r="A2358" s="939"/>
      <c r="B2358" s="962" t="s">
        <v>1356</v>
      </c>
      <c r="C2358" s="337" t="s">
        <v>37</v>
      </c>
      <c r="D2358" s="945"/>
      <c r="E2358" s="999"/>
      <c r="F2358" s="1000"/>
      <c r="G2358" s="681">
        <v>99641.02</v>
      </c>
      <c r="H2358" s="1133"/>
      <c r="I2358" s="172"/>
      <c r="J2358" s="339"/>
      <c r="K2358" s="945"/>
      <c r="L2358" s="340"/>
      <c r="M2358" s="945"/>
      <c r="N2358" s="586"/>
      <c r="O2358" s="839"/>
      <c r="P2358" s="936"/>
      <c r="Q2358" s="412"/>
      <c r="R2358" s="335"/>
      <c r="S2358" s="2"/>
      <c r="T2358" s="2"/>
      <c r="U2358" s="2"/>
      <c r="V2358" s="2"/>
    </row>
    <row r="2359" spans="1:22" s="8" customFormat="1" ht="34.5" customHeight="1" outlineLevel="1" x14ac:dyDescent="0.25">
      <c r="A2359" s="939"/>
      <c r="B2359" s="962" t="s">
        <v>1357</v>
      </c>
      <c r="C2359" s="337" t="s">
        <v>37</v>
      </c>
      <c r="D2359" s="945"/>
      <c r="E2359" s="999"/>
      <c r="F2359" s="1000"/>
      <c r="G2359" s="681">
        <v>109340.69</v>
      </c>
      <c r="H2359" s="1133"/>
      <c r="I2359" s="172"/>
      <c r="J2359" s="339"/>
      <c r="K2359" s="945"/>
      <c r="L2359" s="340"/>
      <c r="M2359" s="945"/>
      <c r="N2359" s="586"/>
      <c r="O2359" s="839"/>
      <c r="P2359" s="936"/>
      <c r="Q2359" s="412"/>
      <c r="R2359" s="335"/>
      <c r="S2359" s="2"/>
      <c r="T2359" s="2"/>
      <c r="U2359" s="2"/>
      <c r="V2359" s="2"/>
    </row>
    <row r="2360" spans="1:22" s="8" customFormat="1" ht="34.5" customHeight="1" outlineLevel="1" x14ac:dyDescent="0.25">
      <c r="A2360" s="939"/>
      <c r="B2360" s="962" t="s">
        <v>1358</v>
      </c>
      <c r="C2360" s="337" t="s">
        <v>37</v>
      </c>
      <c r="D2360" s="945"/>
      <c r="E2360" s="999"/>
      <c r="F2360" s="1000"/>
      <c r="G2360" s="681">
        <v>92913.4</v>
      </c>
      <c r="H2360" s="1133"/>
      <c r="I2360" s="172"/>
      <c r="J2360" s="339"/>
      <c r="K2360" s="945"/>
      <c r="L2360" s="340"/>
      <c r="M2360" s="945"/>
      <c r="N2360" s="586"/>
      <c r="O2360" s="839"/>
      <c r="P2360" s="936"/>
      <c r="Q2360" s="412"/>
      <c r="R2360" s="335"/>
      <c r="S2360" s="2"/>
      <c r="T2360" s="2"/>
      <c r="U2360" s="2"/>
      <c r="V2360" s="2"/>
    </row>
    <row r="2361" spans="1:22" s="8" customFormat="1" ht="34.5" customHeight="1" outlineLevel="1" x14ac:dyDescent="0.25">
      <c r="A2361" s="939"/>
      <c r="B2361" s="962" t="s">
        <v>1359</v>
      </c>
      <c r="C2361" s="337" t="s">
        <v>37</v>
      </c>
      <c r="D2361" s="945"/>
      <c r="E2361" s="999"/>
      <c r="F2361" s="1000"/>
      <c r="G2361" s="681">
        <v>93246.31</v>
      </c>
      <c r="H2361" s="1133"/>
      <c r="I2361" s="172"/>
      <c r="J2361" s="339"/>
      <c r="K2361" s="945"/>
      <c r="L2361" s="340"/>
      <c r="M2361" s="945"/>
      <c r="N2361" s="586"/>
      <c r="O2361" s="839"/>
      <c r="P2361" s="936"/>
      <c r="Q2361" s="412"/>
      <c r="R2361" s="335"/>
      <c r="S2361" s="2"/>
      <c r="T2361" s="2"/>
      <c r="U2361" s="2"/>
      <c r="V2361" s="2"/>
    </row>
    <row r="2362" spans="1:22" s="8" customFormat="1" ht="34.5" customHeight="1" outlineLevel="1" x14ac:dyDescent="0.25">
      <c r="A2362" s="939"/>
      <c r="B2362" s="962" t="s">
        <v>1360</v>
      </c>
      <c r="C2362" s="337" t="s">
        <v>37</v>
      </c>
      <c r="D2362" s="945"/>
      <c r="E2362" s="999"/>
      <c r="F2362" s="1000"/>
      <c r="G2362" s="681">
        <v>124567.82</v>
      </c>
      <c r="H2362" s="1133"/>
      <c r="I2362" s="172"/>
      <c r="J2362" s="339"/>
      <c r="K2362" s="945"/>
      <c r="L2362" s="340"/>
      <c r="M2362" s="945"/>
      <c r="N2362" s="586"/>
      <c r="O2362" s="839"/>
      <c r="P2362" s="936"/>
      <c r="Q2362" s="412"/>
      <c r="R2362" s="335"/>
      <c r="S2362" s="2"/>
      <c r="T2362" s="2"/>
      <c r="U2362" s="2"/>
      <c r="V2362" s="2"/>
    </row>
    <row r="2363" spans="1:22" s="8" customFormat="1" ht="34.5" customHeight="1" outlineLevel="1" x14ac:dyDescent="0.25">
      <c r="A2363" s="939"/>
      <c r="B2363" s="962" t="s">
        <v>1361</v>
      </c>
      <c r="C2363" s="337" t="s">
        <v>37</v>
      </c>
      <c r="D2363" s="945"/>
      <c r="E2363" s="999"/>
      <c r="F2363" s="1000"/>
      <c r="G2363" s="681">
        <v>181694.54</v>
      </c>
      <c r="H2363" s="1133"/>
      <c r="I2363" s="172"/>
      <c r="J2363" s="339"/>
      <c r="K2363" s="945"/>
      <c r="L2363" s="340"/>
      <c r="M2363" s="945"/>
      <c r="N2363" s="586"/>
      <c r="O2363" s="839"/>
      <c r="P2363" s="936"/>
      <c r="Q2363" s="412"/>
      <c r="R2363" s="335"/>
      <c r="S2363" s="2"/>
      <c r="T2363" s="2"/>
      <c r="U2363" s="2"/>
      <c r="V2363" s="2"/>
    </row>
    <row r="2364" spans="1:22" s="8" customFormat="1" ht="34.5" customHeight="1" outlineLevel="1" x14ac:dyDescent="0.25">
      <c r="A2364" s="939"/>
      <c r="B2364" s="962" t="s">
        <v>1362</v>
      </c>
      <c r="C2364" s="337" t="s">
        <v>37</v>
      </c>
      <c r="D2364" s="945"/>
      <c r="E2364" s="999"/>
      <c r="F2364" s="1000"/>
      <c r="G2364" s="681">
        <v>123362.07</v>
      </c>
      <c r="H2364" s="1133"/>
      <c r="I2364" s="172"/>
      <c r="J2364" s="339"/>
      <c r="K2364" s="945"/>
      <c r="L2364" s="340"/>
      <c r="M2364" s="945"/>
      <c r="N2364" s="586"/>
      <c r="O2364" s="839"/>
      <c r="P2364" s="936"/>
      <c r="Q2364" s="412"/>
      <c r="R2364" s="335"/>
      <c r="S2364" s="2"/>
      <c r="T2364" s="2"/>
      <c r="U2364" s="2"/>
      <c r="V2364" s="2"/>
    </row>
    <row r="2365" spans="1:22" s="8" customFormat="1" ht="34.5" customHeight="1" outlineLevel="1" x14ac:dyDescent="0.25">
      <c r="A2365" s="939"/>
      <c r="B2365" s="962" t="s">
        <v>1363</v>
      </c>
      <c r="C2365" s="337" t="s">
        <v>37</v>
      </c>
      <c r="D2365" s="945"/>
      <c r="E2365" s="999"/>
      <c r="F2365" s="1000"/>
      <c r="G2365" s="681">
        <v>110034.48</v>
      </c>
      <c r="H2365" s="1133"/>
      <c r="I2365" s="172"/>
      <c r="J2365" s="339"/>
      <c r="K2365" s="945"/>
      <c r="L2365" s="340"/>
      <c r="M2365" s="945"/>
      <c r="N2365" s="586"/>
      <c r="O2365" s="839"/>
      <c r="P2365" s="936"/>
      <c r="Q2365" s="412"/>
      <c r="R2365" s="335"/>
      <c r="S2365" s="2"/>
      <c r="T2365" s="2"/>
      <c r="U2365" s="2"/>
      <c r="V2365" s="2"/>
    </row>
    <row r="2366" spans="1:22" s="8" customFormat="1" ht="34.5" customHeight="1" outlineLevel="1" x14ac:dyDescent="0.25">
      <c r="A2366" s="939"/>
      <c r="B2366" s="962" t="s">
        <v>1367</v>
      </c>
      <c r="C2366" s="337" t="s">
        <v>37</v>
      </c>
      <c r="D2366" s="945"/>
      <c r="E2366" s="999" t="s">
        <v>1462</v>
      </c>
      <c r="F2366" s="1000" t="s">
        <v>1365</v>
      </c>
      <c r="G2366" s="681">
        <v>97068.37</v>
      </c>
      <c r="H2366" s="1133">
        <v>42801</v>
      </c>
      <c r="I2366" s="172"/>
      <c r="J2366" s="339"/>
      <c r="K2366" s="945"/>
      <c r="L2366" s="340"/>
      <c r="M2366" s="945"/>
      <c r="N2366" s="586"/>
      <c r="O2366" s="839"/>
      <c r="P2366" s="936"/>
      <c r="Q2366" s="412"/>
      <c r="R2366" s="335"/>
      <c r="S2366" s="2"/>
      <c r="T2366" s="2"/>
      <c r="U2366" s="2"/>
      <c r="V2366" s="2"/>
    </row>
    <row r="2367" spans="1:22" s="8" customFormat="1" ht="34.5" customHeight="1" outlineLevel="1" x14ac:dyDescent="0.25">
      <c r="A2367" s="939"/>
      <c r="B2367" s="962" t="s">
        <v>1368</v>
      </c>
      <c r="C2367" s="337" t="s">
        <v>37</v>
      </c>
      <c r="D2367" s="945"/>
      <c r="E2367" s="999"/>
      <c r="F2367" s="1000"/>
      <c r="G2367" s="681">
        <v>579334.03</v>
      </c>
      <c r="H2367" s="1133"/>
      <c r="I2367" s="172"/>
      <c r="J2367" s="339"/>
      <c r="K2367" s="945"/>
      <c r="L2367" s="340"/>
      <c r="M2367" s="945"/>
      <c r="N2367" s="586"/>
      <c r="O2367" s="839"/>
      <c r="P2367" s="936"/>
      <c r="Q2367" s="412"/>
      <c r="R2367" s="335"/>
      <c r="S2367" s="2"/>
      <c r="T2367" s="2"/>
      <c r="U2367" s="2"/>
      <c r="V2367" s="2"/>
    </row>
    <row r="2368" spans="1:22" s="8" customFormat="1" ht="34.5" customHeight="1" outlineLevel="1" x14ac:dyDescent="0.25">
      <c r="A2368" s="939"/>
      <c r="B2368" s="962" t="s">
        <v>1369</v>
      </c>
      <c r="C2368" s="337" t="s">
        <v>37</v>
      </c>
      <c r="D2368" s="945"/>
      <c r="E2368" s="999"/>
      <c r="F2368" s="1000"/>
      <c r="G2368" s="681">
        <v>98801.09</v>
      </c>
      <c r="H2368" s="1133"/>
      <c r="I2368" s="172"/>
      <c r="J2368" s="339"/>
      <c r="K2368" s="945"/>
      <c r="L2368" s="340"/>
      <c r="M2368" s="945"/>
      <c r="N2368" s="586"/>
      <c r="O2368" s="839"/>
      <c r="P2368" s="936"/>
      <c r="Q2368" s="412"/>
      <c r="R2368" s="335"/>
      <c r="S2368" s="2"/>
      <c r="T2368" s="2"/>
      <c r="U2368" s="2"/>
      <c r="V2368" s="2"/>
    </row>
    <row r="2369" spans="1:22" s="8" customFormat="1" ht="34.5" customHeight="1" outlineLevel="1" x14ac:dyDescent="0.25">
      <c r="A2369" s="939"/>
      <c r="B2369" s="962" t="s">
        <v>1370</v>
      </c>
      <c r="C2369" s="337" t="s">
        <v>37</v>
      </c>
      <c r="D2369" s="945"/>
      <c r="E2369" s="999"/>
      <c r="F2369" s="1000"/>
      <c r="G2369" s="681">
        <v>170804.83</v>
      </c>
      <c r="H2369" s="1133"/>
      <c r="I2369" s="172"/>
      <c r="J2369" s="339"/>
      <c r="K2369" s="945"/>
      <c r="L2369" s="340"/>
      <c r="M2369" s="945"/>
      <c r="N2369" s="586"/>
      <c r="O2369" s="839"/>
      <c r="P2369" s="936"/>
      <c r="Q2369" s="412"/>
      <c r="R2369" s="335"/>
      <c r="S2369" s="2"/>
      <c r="T2369" s="2"/>
      <c r="U2369" s="2"/>
      <c r="V2369" s="2"/>
    </row>
    <row r="2370" spans="1:22" s="8" customFormat="1" ht="34.5" customHeight="1" outlineLevel="1" x14ac:dyDescent="0.25">
      <c r="A2370" s="939"/>
      <c r="B2370" s="962" t="s">
        <v>1371</v>
      </c>
      <c r="C2370" s="337" t="s">
        <v>37</v>
      </c>
      <c r="D2370" s="945"/>
      <c r="E2370" s="999"/>
      <c r="F2370" s="1000"/>
      <c r="G2370" s="681">
        <v>249239.62</v>
      </c>
      <c r="H2370" s="1133"/>
      <c r="I2370" s="172"/>
      <c r="J2370" s="339"/>
      <c r="K2370" s="945"/>
      <c r="L2370" s="340"/>
      <c r="M2370" s="945"/>
      <c r="N2370" s="586"/>
      <c r="O2370" s="839"/>
      <c r="P2370" s="936"/>
      <c r="Q2370" s="412"/>
      <c r="R2370" s="335"/>
      <c r="S2370" s="2"/>
      <c r="T2370" s="2"/>
      <c r="U2370" s="2"/>
      <c r="V2370" s="2"/>
    </row>
    <row r="2371" spans="1:22" s="8" customFormat="1" ht="34.5" customHeight="1" outlineLevel="1" x14ac:dyDescent="0.25">
      <c r="A2371" s="939"/>
      <c r="B2371" s="962" t="s">
        <v>1372</v>
      </c>
      <c r="C2371" s="337" t="s">
        <v>37</v>
      </c>
      <c r="D2371" s="945"/>
      <c r="E2371" s="999"/>
      <c r="F2371" s="1000"/>
      <c r="G2371" s="681">
        <v>216496.37</v>
      </c>
      <c r="H2371" s="1133"/>
      <c r="I2371" s="172"/>
      <c r="J2371" s="339"/>
      <c r="K2371" s="945"/>
      <c r="L2371" s="340"/>
      <c r="M2371" s="945"/>
      <c r="N2371" s="586"/>
      <c r="O2371" s="839"/>
      <c r="P2371" s="936"/>
      <c r="Q2371" s="412"/>
      <c r="R2371" s="335"/>
      <c r="S2371" s="2"/>
      <c r="T2371" s="2"/>
      <c r="U2371" s="2"/>
      <c r="V2371" s="2"/>
    </row>
    <row r="2372" spans="1:22" s="8" customFormat="1" ht="34.5" customHeight="1" outlineLevel="1" x14ac:dyDescent="0.25">
      <c r="A2372" s="939"/>
      <c r="B2372" s="962" t="s">
        <v>450</v>
      </c>
      <c r="C2372" s="337" t="s">
        <v>37</v>
      </c>
      <c r="D2372" s="945"/>
      <c r="E2372" s="999"/>
      <c r="F2372" s="1000"/>
      <c r="G2372" s="681">
        <v>289088.96999999997</v>
      </c>
      <c r="H2372" s="1133"/>
      <c r="I2372" s="172"/>
      <c r="J2372" s="339"/>
      <c r="K2372" s="945"/>
      <c r="L2372" s="340"/>
      <c r="M2372" s="945"/>
      <c r="N2372" s="586"/>
      <c r="O2372" s="839"/>
      <c r="P2372" s="936"/>
      <c r="Q2372" s="412"/>
      <c r="R2372" s="335"/>
      <c r="S2372" s="2"/>
      <c r="T2372" s="2"/>
      <c r="U2372" s="2"/>
      <c r="V2372" s="2"/>
    </row>
    <row r="2373" spans="1:22" s="8" customFormat="1" ht="34.5" customHeight="1" outlineLevel="1" x14ac:dyDescent="0.25">
      <c r="A2373" s="939"/>
      <c r="B2373" s="962" t="s">
        <v>1373</v>
      </c>
      <c r="C2373" s="337" t="s">
        <v>37</v>
      </c>
      <c r="D2373" s="945"/>
      <c r="E2373" s="999"/>
      <c r="F2373" s="1000"/>
      <c r="G2373" s="681">
        <v>99639.53</v>
      </c>
      <c r="H2373" s="1133"/>
      <c r="I2373" s="172"/>
      <c r="J2373" s="339"/>
      <c r="K2373" s="945"/>
      <c r="L2373" s="340"/>
      <c r="M2373" s="945"/>
      <c r="N2373" s="586"/>
      <c r="O2373" s="839"/>
      <c r="P2373" s="936"/>
      <c r="Q2373" s="412"/>
      <c r="R2373" s="335"/>
      <c r="S2373" s="2"/>
      <c r="T2373" s="2"/>
      <c r="U2373" s="2"/>
      <c r="V2373" s="2"/>
    </row>
    <row r="2374" spans="1:22" s="8" customFormat="1" ht="34.5" customHeight="1" outlineLevel="1" x14ac:dyDescent="0.25">
      <c r="A2374" s="939"/>
      <c r="B2374" s="962" t="s">
        <v>1374</v>
      </c>
      <c r="C2374" s="337" t="s">
        <v>37</v>
      </c>
      <c r="D2374" s="945"/>
      <c r="E2374" s="999"/>
      <c r="F2374" s="1000"/>
      <c r="G2374" s="681">
        <v>298842.26</v>
      </c>
      <c r="H2374" s="1133"/>
      <c r="I2374" s="172"/>
      <c r="J2374" s="339"/>
      <c r="K2374" s="945"/>
      <c r="L2374" s="340"/>
      <c r="M2374" s="945"/>
      <c r="N2374" s="586"/>
      <c r="O2374" s="839"/>
      <c r="P2374" s="936"/>
      <c r="Q2374" s="412"/>
      <c r="R2374" s="335"/>
      <c r="S2374" s="2"/>
      <c r="T2374" s="2"/>
      <c r="U2374" s="2"/>
      <c r="V2374" s="2"/>
    </row>
    <row r="2375" spans="1:22" s="8" customFormat="1" ht="34.5" customHeight="1" outlineLevel="1" x14ac:dyDescent="0.25">
      <c r="A2375" s="939"/>
      <c r="B2375" s="962" t="s">
        <v>1375</v>
      </c>
      <c r="C2375" s="337" t="s">
        <v>37</v>
      </c>
      <c r="D2375" s="945"/>
      <c r="E2375" s="999"/>
      <c r="F2375" s="1000"/>
      <c r="G2375" s="681">
        <v>287831.93</v>
      </c>
      <c r="H2375" s="1133"/>
      <c r="I2375" s="172"/>
      <c r="J2375" s="339"/>
      <c r="K2375" s="945"/>
      <c r="L2375" s="340"/>
      <c r="M2375" s="945"/>
      <c r="N2375" s="586"/>
      <c r="O2375" s="839"/>
      <c r="P2375" s="936"/>
      <c r="Q2375" s="412"/>
      <c r="R2375" s="335"/>
      <c r="S2375" s="2"/>
      <c r="T2375" s="2"/>
      <c r="U2375" s="2"/>
      <c r="V2375" s="2"/>
    </row>
    <row r="2376" spans="1:22" s="8" customFormat="1" ht="34.5" customHeight="1" outlineLevel="1" x14ac:dyDescent="0.25">
      <c r="A2376" s="939"/>
      <c r="B2376" s="962" t="s">
        <v>1376</v>
      </c>
      <c r="C2376" s="337" t="s">
        <v>37</v>
      </c>
      <c r="D2376" s="945"/>
      <c r="E2376" s="999"/>
      <c r="F2376" s="1000"/>
      <c r="G2376" s="681">
        <v>261241.31</v>
      </c>
      <c r="H2376" s="1133"/>
      <c r="I2376" s="172"/>
      <c r="J2376" s="339"/>
      <c r="K2376" s="945"/>
      <c r="L2376" s="340"/>
      <c r="M2376" s="945"/>
      <c r="N2376" s="586"/>
      <c r="O2376" s="839"/>
      <c r="P2376" s="936"/>
      <c r="Q2376" s="412"/>
      <c r="R2376" s="335"/>
      <c r="S2376" s="2"/>
      <c r="T2376" s="2"/>
      <c r="U2376" s="2"/>
      <c r="V2376" s="2"/>
    </row>
    <row r="2377" spans="1:22" s="8" customFormat="1" ht="34.5" customHeight="1" outlineLevel="1" x14ac:dyDescent="0.25">
      <c r="A2377" s="939"/>
      <c r="B2377" s="962" t="s">
        <v>458</v>
      </c>
      <c r="C2377" s="337" t="s">
        <v>37</v>
      </c>
      <c r="D2377" s="945"/>
      <c r="E2377" s="999"/>
      <c r="F2377" s="1000"/>
      <c r="G2377" s="681">
        <v>147946.76</v>
      </c>
      <c r="H2377" s="1133"/>
      <c r="I2377" s="172"/>
      <c r="J2377" s="339"/>
      <c r="K2377" s="945"/>
      <c r="L2377" s="340"/>
      <c r="M2377" s="945"/>
      <c r="N2377" s="586"/>
      <c r="O2377" s="839"/>
      <c r="P2377" s="936"/>
      <c r="Q2377" s="412"/>
      <c r="R2377" s="335"/>
      <c r="S2377" s="2"/>
      <c r="T2377" s="2"/>
      <c r="U2377" s="2"/>
      <c r="V2377" s="2"/>
    </row>
    <row r="2378" spans="1:22" s="8" customFormat="1" ht="34.5" customHeight="1" outlineLevel="1" x14ac:dyDescent="0.25">
      <c r="A2378" s="939"/>
      <c r="B2378" s="962" t="s">
        <v>1377</v>
      </c>
      <c r="C2378" s="337" t="s">
        <v>37</v>
      </c>
      <c r="D2378" s="945"/>
      <c r="E2378" s="999"/>
      <c r="F2378" s="1000"/>
      <c r="G2378" s="681">
        <v>287288.2</v>
      </c>
      <c r="H2378" s="1133"/>
      <c r="I2378" s="172"/>
      <c r="J2378" s="339"/>
      <c r="K2378" s="945"/>
      <c r="L2378" s="340"/>
      <c r="M2378" s="945"/>
      <c r="N2378" s="586"/>
      <c r="O2378" s="839"/>
      <c r="P2378" s="936"/>
      <c r="Q2378" s="412"/>
      <c r="R2378" s="335"/>
      <c r="S2378" s="2"/>
      <c r="T2378" s="2"/>
      <c r="U2378" s="2"/>
      <c r="V2378" s="2"/>
    </row>
    <row r="2379" spans="1:22" s="8" customFormat="1" ht="34.5" customHeight="1" outlineLevel="1" x14ac:dyDescent="0.25">
      <c r="A2379" s="939"/>
      <c r="B2379" s="962" t="s">
        <v>1378</v>
      </c>
      <c r="C2379" s="337" t="s">
        <v>37</v>
      </c>
      <c r="D2379" s="945"/>
      <c r="E2379" s="999"/>
      <c r="F2379" s="1000"/>
      <c r="G2379" s="681">
        <v>282392.7</v>
      </c>
      <c r="H2379" s="1133"/>
      <c r="I2379" s="172"/>
      <c r="J2379" s="339"/>
      <c r="K2379" s="945"/>
      <c r="L2379" s="340"/>
      <c r="M2379" s="945"/>
      <c r="N2379" s="586"/>
      <c r="O2379" s="839"/>
      <c r="P2379" s="936"/>
      <c r="Q2379" s="412"/>
      <c r="R2379" s="335"/>
      <c r="S2379" s="2"/>
      <c r="T2379" s="2"/>
      <c r="U2379" s="2"/>
      <c r="V2379" s="2"/>
    </row>
    <row r="2380" spans="1:22" s="8" customFormat="1" ht="34.5" customHeight="1" outlineLevel="1" x14ac:dyDescent="0.25">
      <c r="A2380" s="939"/>
      <c r="B2380" s="962" t="s">
        <v>1379</v>
      </c>
      <c r="C2380" s="337" t="s">
        <v>37</v>
      </c>
      <c r="D2380" s="945"/>
      <c r="E2380" s="999"/>
      <c r="F2380" s="1000"/>
      <c r="G2380" s="681">
        <v>368244.45</v>
      </c>
      <c r="H2380" s="1133"/>
      <c r="I2380" s="172"/>
      <c r="J2380" s="339"/>
      <c r="K2380" s="945"/>
      <c r="L2380" s="340"/>
      <c r="M2380" s="945"/>
      <c r="N2380" s="586"/>
      <c r="O2380" s="839"/>
      <c r="P2380" s="936"/>
      <c r="Q2380" s="412"/>
      <c r="R2380" s="335"/>
      <c r="S2380" s="2"/>
      <c r="T2380" s="2"/>
      <c r="U2380" s="2"/>
      <c r="V2380" s="2"/>
    </row>
    <row r="2381" spans="1:22" s="8" customFormat="1" ht="34.5" customHeight="1" outlineLevel="1" x14ac:dyDescent="0.25">
      <c r="A2381" s="939"/>
      <c r="B2381" s="962" t="s">
        <v>1380</v>
      </c>
      <c r="C2381" s="337" t="s">
        <v>37</v>
      </c>
      <c r="D2381" s="945"/>
      <c r="E2381" s="999"/>
      <c r="F2381" s="1000"/>
      <c r="G2381" s="681">
        <v>473908.18</v>
      </c>
      <c r="H2381" s="1133"/>
      <c r="I2381" s="172"/>
      <c r="J2381" s="339"/>
      <c r="K2381" s="945"/>
      <c r="L2381" s="340"/>
      <c r="M2381" s="945"/>
      <c r="N2381" s="586"/>
      <c r="O2381" s="839"/>
      <c r="P2381" s="936"/>
      <c r="Q2381" s="412"/>
      <c r="R2381" s="335"/>
      <c r="S2381" s="2"/>
      <c r="T2381" s="2"/>
      <c r="U2381" s="2"/>
      <c r="V2381" s="2"/>
    </row>
    <row r="2382" spans="1:22" s="8" customFormat="1" ht="34.5" customHeight="1" outlineLevel="1" x14ac:dyDescent="0.25">
      <c r="A2382" s="939"/>
      <c r="B2382" s="962" t="s">
        <v>1381</v>
      </c>
      <c r="C2382" s="337" t="s">
        <v>37</v>
      </c>
      <c r="D2382" s="945"/>
      <c r="E2382" s="999"/>
      <c r="F2382" s="1000"/>
      <c r="G2382" s="681">
        <v>292141.39</v>
      </c>
      <c r="H2382" s="1133"/>
      <c r="I2382" s="172"/>
      <c r="J2382" s="339"/>
      <c r="K2382" s="945"/>
      <c r="L2382" s="340"/>
      <c r="M2382" s="945"/>
      <c r="N2382" s="586"/>
      <c r="O2382" s="839"/>
      <c r="P2382" s="936"/>
      <c r="Q2382" s="412"/>
      <c r="R2382" s="335"/>
      <c r="S2382" s="2"/>
      <c r="T2382" s="2"/>
      <c r="U2382" s="2"/>
      <c r="V2382" s="2"/>
    </row>
    <row r="2383" spans="1:22" s="8" customFormat="1" ht="34.5" customHeight="1" outlineLevel="1" x14ac:dyDescent="0.25">
      <c r="A2383" s="939"/>
      <c r="B2383" s="962" t="s">
        <v>1382</v>
      </c>
      <c r="C2383" s="337" t="s">
        <v>37</v>
      </c>
      <c r="D2383" s="945"/>
      <c r="E2383" s="999"/>
      <c r="F2383" s="1000"/>
      <c r="G2383" s="681">
        <v>294690.01</v>
      </c>
      <c r="H2383" s="1133"/>
      <c r="I2383" s="172"/>
      <c r="J2383" s="339"/>
      <c r="K2383" s="945"/>
      <c r="L2383" s="340"/>
      <c r="M2383" s="945"/>
      <c r="N2383" s="586"/>
      <c r="O2383" s="839"/>
      <c r="P2383" s="936"/>
      <c r="Q2383" s="412"/>
      <c r="R2383" s="335"/>
      <c r="S2383" s="2"/>
      <c r="T2383" s="2"/>
      <c r="U2383" s="2"/>
      <c r="V2383" s="2"/>
    </row>
    <row r="2384" spans="1:22" s="8" customFormat="1" ht="34.5" customHeight="1" outlineLevel="1" x14ac:dyDescent="0.25">
      <c r="A2384" s="939"/>
      <c r="B2384" s="962" t="s">
        <v>1383</v>
      </c>
      <c r="C2384" s="337" t="s">
        <v>37</v>
      </c>
      <c r="D2384" s="945"/>
      <c r="E2384" s="999" t="s">
        <v>1389</v>
      </c>
      <c r="F2384" s="1000" t="s">
        <v>1335</v>
      </c>
      <c r="G2384" s="681">
        <v>126561.3</v>
      </c>
      <c r="H2384" s="1133">
        <v>42801</v>
      </c>
      <c r="I2384" s="172"/>
      <c r="J2384" s="339"/>
      <c r="K2384" s="945"/>
      <c r="L2384" s="340"/>
      <c r="M2384" s="945"/>
      <c r="N2384" s="586"/>
      <c r="O2384" s="839"/>
      <c r="P2384" s="936"/>
      <c r="Q2384" s="412"/>
      <c r="R2384" s="335"/>
      <c r="S2384" s="2"/>
      <c r="T2384" s="2"/>
      <c r="U2384" s="2"/>
      <c r="V2384" s="2"/>
    </row>
    <row r="2385" spans="1:22" s="8" customFormat="1" ht="34.5" customHeight="1" outlineLevel="1" x14ac:dyDescent="0.25">
      <c r="A2385" s="939"/>
      <c r="B2385" s="962" t="s">
        <v>1384</v>
      </c>
      <c r="C2385" s="337" t="s">
        <v>37</v>
      </c>
      <c r="D2385" s="945"/>
      <c r="E2385" s="999"/>
      <c r="F2385" s="1000"/>
      <c r="G2385" s="681">
        <v>218699.37</v>
      </c>
      <c r="H2385" s="1133"/>
      <c r="I2385" s="172"/>
      <c r="J2385" s="339"/>
      <c r="K2385" s="945"/>
      <c r="L2385" s="340"/>
      <c r="M2385" s="945"/>
      <c r="N2385" s="586"/>
      <c r="O2385" s="839"/>
      <c r="P2385" s="936"/>
      <c r="Q2385" s="412"/>
      <c r="R2385" s="335"/>
      <c r="S2385" s="2"/>
      <c r="T2385" s="2"/>
      <c r="U2385" s="2"/>
      <c r="V2385" s="2"/>
    </row>
    <row r="2386" spans="1:22" s="8" customFormat="1" ht="34.5" customHeight="1" outlineLevel="1" x14ac:dyDescent="0.25">
      <c r="A2386" s="939"/>
      <c r="B2386" s="962" t="s">
        <v>1385</v>
      </c>
      <c r="C2386" s="337" t="s">
        <v>37</v>
      </c>
      <c r="D2386" s="945"/>
      <c r="E2386" s="999"/>
      <c r="F2386" s="1000"/>
      <c r="G2386" s="681">
        <v>224369.78</v>
      </c>
      <c r="H2386" s="1133"/>
      <c r="I2386" s="172"/>
      <c r="J2386" s="339"/>
      <c r="K2386" s="945"/>
      <c r="L2386" s="340"/>
      <c r="M2386" s="945"/>
      <c r="N2386" s="586"/>
      <c r="O2386" s="839"/>
      <c r="P2386" s="936"/>
      <c r="Q2386" s="412"/>
      <c r="R2386" s="335"/>
      <c r="S2386" s="2"/>
      <c r="T2386" s="2"/>
      <c r="U2386" s="2"/>
      <c r="V2386" s="2"/>
    </row>
    <row r="2387" spans="1:22" s="8" customFormat="1" ht="34.5" customHeight="1" outlineLevel="1" x14ac:dyDescent="0.25">
      <c r="A2387" s="939"/>
      <c r="B2387" s="962" t="s">
        <v>1386</v>
      </c>
      <c r="C2387" s="337" t="s">
        <v>37</v>
      </c>
      <c r="D2387" s="945"/>
      <c r="E2387" s="999"/>
      <c r="F2387" s="1000"/>
      <c r="G2387" s="681">
        <v>122812.54</v>
      </c>
      <c r="H2387" s="1133"/>
      <c r="I2387" s="172"/>
      <c r="J2387" s="339"/>
      <c r="K2387" s="945"/>
      <c r="L2387" s="340"/>
      <c r="M2387" s="945"/>
      <c r="N2387" s="586"/>
      <c r="O2387" s="839"/>
      <c r="P2387" s="936"/>
      <c r="Q2387" s="412"/>
      <c r="R2387" s="335"/>
      <c r="S2387" s="2"/>
      <c r="T2387" s="2"/>
      <c r="U2387" s="2"/>
      <c r="V2387" s="2"/>
    </row>
    <row r="2388" spans="1:22" s="8" customFormat="1" ht="34.5" customHeight="1" outlineLevel="1" x14ac:dyDescent="0.25">
      <c r="A2388" s="939"/>
      <c r="B2388" s="962" t="s">
        <v>1387</v>
      </c>
      <c r="C2388" s="337" t="s">
        <v>37</v>
      </c>
      <c r="D2388" s="945"/>
      <c r="E2388" s="999"/>
      <c r="F2388" s="1000"/>
      <c r="G2388" s="681">
        <v>214048.09</v>
      </c>
      <c r="H2388" s="1133"/>
      <c r="I2388" s="172"/>
      <c r="J2388" s="339"/>
      <c r="K2388" s="945"/>
      <c r="L2388" s="340"/>
      <c r="M2388" s="945"/>
      <c r="N2388" s="586"/>
      <c r="O2388" s="839"/>
      <c r="P2388" s="936"/>
      <c r="Q2388" s="412"/>
      <c r="R2388" s="335"/>
      <c r="S2388" s="2"/>
      <c r="T2388" s="2"/>
      <c r="U2388" s="2"/>
      <c r="V2388" s="2"/>
    </row>
    <row r="2389" spans="1:22" s="8" customFormat="1" ht="34.5" customHeight="1" outlineLevel="1" x14ac:dyDescent="0.25">
      <c r="A2389" s="939"/>
      <c r="B2389" s="962" t="s">
        <v>1388</v>
      </c>
      <c r="C2389" s="337" t="s">
        <v>37</v>
      </c>
      <c r="D2389" s="945"/>
      <c r="E2389" s="999"/>
      <c r="F2389" s="1000"/>
      <c r="G2389" s="681">
        <v>66303.42</v>
      </c>
      <c r="H2389" s="1133"/>
      <c r="I2389" s="172"/>
      <c r="J2389" s="339"/>
      <c r="K2389" s="945"/>
      <c r="L2389" s="340"/>
      <c r="M2389" s="945"/>
      <c r="N2389" s="586"/>
      <c r="O2389" s="839"/>
      <c r="P2389" s="936"/>
      <c r="Q2389" s="412"/>
      <c r="R2389" s="335"/>
      <c r="S2389" s="2"/>
      <c r="T2389" s="2"/>
      <c r="U2389" s="2"/>
      <c r="V2389" s="2"/>
    </row>
    <row r="2390" spans="1:22" s="8" customFormat="1" ht="34.5" customHeight="1" outlineLevel="1" x14ac:dyDescent="0.25">
      <c r="A2390" s="939"/>
      <c r="B2390" s="962" t="s">
        <v>1390</v>
      </c>
      <c r="C2390" s="337" t="s">
        <v>37</v>
      </c>
      <c r="D2390" s="945"/>
      <c r="E2390" s="999"/>
      <c r="F2390" s="1000"/>
      <c r="G2390" s="681">
        <v>369705.71</v>
      </c>
      <c r="H2390" s="1133"/>
      <c r="I2390" s="172"/>
      <c r="J2390" s="339"/>
      <c r="K2390" s="945"/>
      <c r="L2390" s="340"/>
      <c r="M2390" s="945"/>
      <c r="N2390" s="586"/>
      <c r="O2390" s="839"/>
      <c r="P2390" s="936"/>
      <c r="Q2390" s="412"/>
      <c r="R2390" s="335"/>
      <c r="S2390" s="2"/>
      <c r="T2390" s="2"/>
      <c r="U2390" s="2"/>
      <c r="V2390" s="2"/>
    </row>
    <row r="2391" spans="1:22" s="8" customFormat="1" ht="34.5" customHeight="1" outlineLevel="1" x14ac:dyDescent="0.25">
      <c r="A2391" s="939"/>
      <c r="B2391" s="962" t="s">
        <v>1391</v>
      </c>
      <c r="C2391" s="337" t="s">
        <v>37</v>
      </c>
      <c r="D2391" s="945"/>
      <c r="E2391" s="999"/>
      <c r="F2391" s="1000"/>
      <c r="G2391" s="681">
        <v>390602.65</v>
      </c>
      <c r="H2391" s="1133"/>
      <c r="I2391" s="172"/>
      <c r="J2391" s="339"/>
      <c r="K2391" s="945"/>
      <c r="L2391" s="340"/>
      <c r="M2391" s="945"/>
      <c r="N2391" s="586"/>
      <c r="O2391" s="839"/>
      <c r="P2391" s="936"/>
      <c r="Q2391" s="412"/>
      <c r="R2391" s="335"/>
      <c r="S2391" s="2"/>
      <c r="T2391" s="2"/>
      <c r="U2391" s="2"/>
      <c r="V2391" s="2"/>
    </row>
    <row r="2392" spans="1:22" s="8" customFormat="1" ht="34.5" customHeight="1" outlineLevel="1" x14ac:dyDescent="0.25">
      <c r="A2392" s="939"/>
      <c r="B2392" s="962" t="s">
        <v>1392</v>
      </c>
      <c r="C2392" s="337" t="s">
        <v>37</v>
      </c>
      <c r="D2392" s="945"/>
      <c r="E2392" s="999"/>
      <c r="F2392" s="1000"/>
      <c r="G2392" s="681">
        <v>301570.8</v>
      </c>
      <c r="H2392" s="1133"/>
      <c r="I2392" s="172"/>
      <c r="J2392" s="339"/>
      <c r="K2392" s="945"/>
      <c r="L2392" s="340"/>
      <c r="M2392" s="945"/>
      <c r="N2392" s="586"/>
      <c r="O2392" s="839"/>
      <c r="P2392" s="936"/>
      <c r="Q2392" s="412"/>
      <c r="R2392" s="335"/>
      <c r="S2392" s="2"/>
      <c r="T2392" s="2"/>
      <c r="U2392" s="2"/>
      <c r="V2392" s="2"/>
    </row>
    <row r="2393" spans="1:22" s="8" customFormat="1" ht="34.5" customHeight="1" outlineLevel="1" x14ac:dyDescent="0.25">
      <c r="A2393" s="939"/>
      <c r="B2393" s="962" t="s">
        <v>1393</v>
      </c>
      <c r="C2393" s="337" t="s">
        <v>37</v>
      </c>
      <c r="D2393" s="945"/>
      <c r="E2393" s="999"/>
      <c r="F2393" s="1000"/>
      <c r="G2393" s="681">
        <v>175420.25</v>
      </c>
      <c r="H2393" s="1133"/>
      <c r="I2393" s="172"/>
      <c r="J2393" s="339"/>
      <c r="K2393" s="945"/>
      <c r="L2393" s="340"/>
      <c r="M2393" s="945"/>
      <c r="N2393" s="586"/>
      <c r="O2393" s="839"/>
      <c r="P2393" s="936"/>
      <c r="Q2393" s="412"/>
      <c r="R2393" s="335"/>
      <c r="S2393" s="2"/>
      <c r="T2393" s="2"/>
      <c r="U2393" s="2"/>
      <c r="V2393" s="2"/>
    </row>
    <row r="2394" spans="1:22" s="8" customFormat="1" ht="34.5" customHeight="1" outlineLevel="1" x14ac:dyDescent="0.25">
      <c r="A2394" s="939"/>
      <c r="B2394" s="962" t="s">
        <v>1394</v>
      </c>
      <c r="C2394" s="337" t="s">
        <v>37</v>
      </c>
      <c r="D2394" s="945"/>
      <c r="E2394" s="999"/>
      <c r="F2394" s="1000"/>
      <c r="G2394" s="681">
        <v>230492.76</v>
      </c>
      <c r="H2394" s="1133"/>
      <c r="I2394" s="172"/>
      <c r="J2394" s="339"/>
      <c r="K2394" s="945"/>
      <c r="L2394" s="340"/>
      <c r="M2394" s="945"/>
      <c r="N2394" s="586"/>
      <c r="O2394" s="839"/>
      <c r="P2394" s="936"/>
      <c r="Q2394" s="412"/>
      <c r="R2394" s="335"/>
      <c r="S2394" s="2"/>
      <c r="T2394" s="2"/>
      <c r="U2394" s="2"/>
      <c r="V2394" s="2"/>
    </row>
    <row r="2395" spans="1:22" s="8" customFormat="1" ht="34.5" customHeight="1" outlineLevel="1" x14ac:dyDescent="0.25">
      <c r="A2395" s="939"/>
      <c r="B2395" s="962" t="s">
        <v>1395</v>
      </c>
      <c r="C2395" s="337" t="s">
        <v>37</v>
      </c>
      <c r="D2395" s="945"/>
      <c r="E2395" s="999"/>
      <c r="F2395" s="1000"/>
      <c r="G2395" s="681">
        <v>302974.96000000002</v>
      </c>
      <c r="H2395" s="1133"/>
      <c r="I2395" s="172"/>
      <c r="J2395" s="339"/>
      <c r="K2395" s="945"/>
      <c r="L2395" s="340"/>
      <c r="M2395" s="945"/>
      <c r="N2395" s="586"/>
      <c r="O2395" s="839"/>
      <c r="P2395" s="936"/>
      <c r="Q2395" s="412"/>
      <c r="R2395" s="335"/>
      <c r="S2395" s="2"/>
      <c r="T2395" s="2"/>
      <c r="U2395" s="2"/>
      <c r="V2395" s="2"/>
    </row>
    <row r="2396" spans="1:22" s="8" customFormat="1" ht="34.5" customHeight="1" outlineLevel="1" x14ac:dyDescent="0.25">
      <c r="A2396" s="939"/>
      <c r="B2396" s="962" t="s">
        <v>1396</v>
      </c>
      <c r="C2396" s="337" t="s">
        <v>37</v>
      </c>
      <c r="D2396" s="945"/>
      <c r="E2396" s="999"/>
      <c r="F2396" s="1000"/>
      <c r="G2396" s="681">
        <v>193850.05</v>
      </c>
      <c r="H2396" s="1133"/>
      <c r="I2396" s="172"/>
      <c r="J2396" s="339"/>
      <c r="K2396" s="945"/>
      <c r="L2396" s="340"/>
      <c r="M2396" s="945"/>
      <c r="N2396" s="586"/>
      <c r="O2396" s="839"/>
      <c r="P2396" s="936"/>
      <c r="Q2396" s="412"/>
      <c r="R2396" s="335"/>
      <c r="S2396" s="2"/>
      <c r="T2396" s="2"/>
      <c r="U2396" s="2"/>
      <c r="V2396" s="2"/>
    </row>
    <row r="2397" spans="1:22" s="8" customFormat="1" ht="34.5" customHeight="1" outlineLevel="1" x14ac:dyDescent="0.25">
      <c r="A2397" s="939"/>
      <c r="B2397" s="962" t="s">
        <v>1397</v>
      </c>
      <c r="C2397" s="337" t="s">
        <v>37</v>
      </c>
      <c r="D2397" s="945"/>
      <c r="E2397" s="999"/>
      <c r="F2397" s="1000"/>
      <c r="G2397" s="681">
        <v>400534.55</v>
      </c>
      <c r="H2397" s="1133"/>
      <c r="I2397" s="172"/>
      <c r="J2397" s="339"/>
      <c r="K2397" s="945"/>
      <c r="L2397" s="340"/>
      <c r="M2397" s="945"/>
      <c r="N2397" s="586"/>
      <c r="O2397" s="839"/>
      <c r="P2397" s="936"/>
      <c r="Q2397" s="412"/>
      <c r="R2397" s="335"/>
      <c r="S2397" s="2"/>
      <c r="T2397" s="2"/>
      <c r="U2397" s="2"/>
      <c r="V2397" s="2"/>
    </row>
    <row r="2398" spans="1:22" s="8" customFormat="1" ht="34.5" customHeight="1" outlineLevel="1" x14ac:dyDescent="0.25">
      <c r="A2398" s="939"/>
      <c r="B2398" s="962" t="s">
        <v>1398</v>
      </c>
      <c r="C2398" s="337" t="s">
        <v>37</v>
      </c>
      <c r="D2398" s="945"/>
      <c r="E2398" s="999"/>
      <c r="F2398" s="1000"/>
      <c r="G2398" s="681">
        <v>177467.29</v>
      </c>
      <c r="H2398" s="1133"/>
      <c r="I2398" s="172"/>
      <c r="J2398" s="339"/>
      <c r="K2398" s="945"/>
      <c r="L2398" s="340"/>
      <c r="M2398" s="945"/>
      <c r="N2398" s="586"/>
      <c r="O2398" s="839"/>
      <c r="P2398" s="936"/>
      <c r="Q2398" s="412"/>
      <c r="R2398" s="335"/>
      <c r="S2398" s="2"/>
      <c r="T2398" s="2"/>
      <c r="U2398" s="2"/>
      <c r="V2398" s="2"/>
    </row>
    <row r="2399" spans="1:22" s="8" customFormat="1" ht="34.5" customHeight="1" outlineLevel="1" x14ac:dyDescent="0.25">
      <c r="A2399" s="939"/>
      <c r="B2399" s="964" t="s">
        <v>421</v>
      </c>
      <c r="C2399" s="337" t="s">
        <v>37</v>
      </c>
      <c r="D2399" s="945"/>
      <c r="E2399" s="999"/>
      <c r="F2399" s="1000"/>
      <c r="G2399" s="681">
        <v>326484.61</v>
      </c>
      <c r="H2399" s="1133"/>
      <c r="I2399" s="172"/>
      <c r="J2399" s="339"/>
      <c r="K2399" s="945"/>
      <c r="L2399" s="340"/>
      <c r="M2399" s="945"/>
      <c r="N2399" s="586"/>
      <c r="O2399" s="839"/>
      <c r="P2399" s="936"/>
      <c r="Q2399" s="412"/>
      <c r="R2399" s="335"/>
      <c r="S2399" s="2"/>
      <c r="T2399" s="2"/>
      <c r="U2399" s="2"/>
      <c r="V2399" s="2"/>
    </row>
    <row r="2400" spans="1:22" s="8" customFormat="1" ht="34.5" customHeight="1" outlineLevel="1" x14ac:dyDescent="0.25">
      <c r="A2400" s="939"/>
      <c r="B2400" s="962" t="s">
        <v>1399</v>
      </c>
      <c r="C2400" s="337" t="s">
        <v>37</v>
      </c>
      <c r="D2400" s="945"/>
      <c r="E2400" s="999"/>
      <c r="F2400" s="1000"/>
      <c r="G2400" s="681">
        <v>466473.62</v>
      </c>
      <c r="H2400" s="1133"/>
      <c r="I2400" s="172"/>
      <c r="J2400" s="339"/>
      <c r="K2400" s="945"/>
      <c r="L2400" s="340"/>
      <c r="M2400" s="945"/>
      <c r="N2400" s="586"/>
      <c r="O2400" s="839"/>
      <c r="P2400" s="936"/>
      <c r="Q2400" s="412"/>
      <c r="R2400" s="335"/>
      <c r="S2400" s="2"/>
      <c r="T2400" s="2"/>
      <c r="U2400" s="2"/>
      <c r="V2400" s="2"/>
    </row>
    <row r="2401" spans="1:22" s="8" customFormat="1" ht="34.5" customHeight="1" outlineLevel="1" x14ac:dyDescent="0.25">
      <c r="A2401" s="939"/>
      <c r="B2401" s="962" t="s">
        <v>1400</v>
      </c>
      <c r="C2401" s="337" t="s">
        <v>37</v>
      </c>
      <c r="D2401" s="945"/>
      <c r="E2401" s="999"/>
      <c r="F2401" s="1000"/>
      <c r="G2401" s="681">
        <v>247472.09</v>
      </c>
      <c r="H2401" s="1133"/>
      <c r="I2401" s="172"/>
      <c r="J2401" s="339"/>
      <c r="K2401" s="945"/>
      <c r="L2401" s="340"/>
      <c r="M2401" s="945"/>
      <c r="N2401" s="586"/>
      <c r="O2401" s="839"/>
      <c r="P2401" s="936"/>
      <c r="Q2401" s="412"/>
      <c r="R2401" s="335"/>
      <c r="S2401" s="2"/>
      <c r="T2401" s="2"/>
      <c r="U2401" s="2"/>
      <c r="V2401" s="2"/>
    </row>
    <row r="2402" spans="1:22" s="8" customFormat="1" ht="34.5" customHeight="1" outlineLevel="1" x14ac:dyDescent="0.25">
      <c r="A2402" s="939"/>
      <c r="B2402" s="962" t="s">
        <v>1401</v>
      </c>
      <c r="C2402" s="337" t="s">
        <v>37</v>
      </c>
      <c r="D2402" s="945"/>
      <c r="E2402" s="942"/>
      <c r="F2402" s="943"/>
      <c r="G2402" s="681">
        <v>94131.8</v>
      </c>
      <c r="H2402" s="1133"/>
      <c r="I2402" s="172"/>
      <c r="J2402" s="339"/>
      <c r="K2402" s="945"/>
      <c r="L2402" s="340"/>
      <c r="M2402" s="945"/>
      <c r="N2402" s="586"/>
      <c r="O2402" s="839"/>
      <c r="P2402" s="936"/>
      <c r="Q2402" s="412"/>
      <c r="R2402" s="335"/>
      <c r="S2402" s="2"/>
      <c r="T2402" s="2"/>
      <c r="U2402" s="2"/>
      <c r="V2402" s="2"/>
    </row>
    <row r="2403" spans="1:22" s="6" customFormat="1" ht="17.25" thickBot="1" x14ac:dyDescent="0.3">
      <c r="A2403" s="1085" t="s">
        <v>629</v>
      </c>
      <c r="B2403" s="1085"/>
      <c r="C2403" s="965"/>
      <c r="D2403" s="742">
        <f>SUM(D2301,D2295,D2292,D2289,D2286,D2282,D2279,D2274,D2271,D2265,D2262,D2258,D2254,D2251,D2248,D2245,D2242,D2238,D2235,D2231,D2227,D2224,D2221,D2218,D2215,D2209,D2202,D2196,D2192,D2189,D2186,D2183,D2180,D2177,D2174,D2171,D2167,D2163,D2160,D2157,D2152,D2149,D2145,D2142,D2139,D2136,D2133,D2130,D2127,D2120,D2116,D2113,D2110,D2107,D2103,D2097,D2094,D2091,D2088,D2085,D2082,D2079,D2076,D2072,D2068,D2066,D2063,D2060,D2057,D2054,D2051,D2047,D2043,D2040,D2037,D2032,D2028,D2024,D2021,D2018,D2010,D2007,D2004,D1999,D1996,D1991,D1986,D1983,D1980,D1976,D1973,D1970,D1967,D1963,D1960,D1957,D1953,D1949,D1945,D1941,D1939,D1935,D1932,D1929,D1926,D1923,D1920,D1917,D1913,D1909,D1906,D1902,D1899,D1893,D1890,D1886,D1882,D1879,D1876,D1873,D1870,D1867,D1864,D1860,D1856,D1853,D1850,D1847,D1844,D1841,D1838,D1835,D1831,D1828,D1825,D1822,D1819,D1816,D1813,D1810,D1806,D1803,D1800,D1796,D1792,D1789,D2302,D2154,D2034,D2204)</f>
        <v>1142519201.5498438</v>
      </c>
      <c r="E2403" s="966"/>
      <c r="F2403" s="967"/>
      <c r="G2403" s="742">
        <f>SUM(G2301,G2295,G2292,G2289,G2286,G2282,G2279,G2274,G2271,G2265,G2262,G2258,G2254,G2251,G2248,G2245,G2242,G2238,G2235,G2231,G2227,G2224,G2221,G2218,G2215,G2209,G2202,G2196,G2192,G2189,G2186,G2183,G2180,G2177,G2174,G2171,G2167,G2163,G2160,G2157,G2152,G2149,G2145,G2142,G2139,G2136,G2133,G2130,G2127,G2120,G2116,G2113,G2110,G2107,G2103,G2097,G2094,G2091,G2088,G2085,G2082,G2079,G2076,G2072,G2068,G2066,G2063,G2060,G2057,G2054,G2051,G2047,G2043,G2040,G2037,G2032,G2028,G2024,G2021,G2018,G2010,G2007,G2004,G1999,G1996,G1991,G1986,G1983,G1980,G1976,G1973,G1970,G1967,G1963,G1960,G1957,G1953,G1949,G1945,G1941,G1939,G1935,G1932,G1929,G1926,G1923,G1920,G1917,G1913,G1909,G1906,G1902,G1899,G1893,G1890,G1886,G1882,G1879,G1876,G1873,G1870,G1867,G1864,G1860,G1856,G1853,G1850,G1847,G1844,G1841,G1838,G1835,G1831,G1828,G1825,G1822,G1819,G1816,G1813,G1810,G1806,G1803,G1800,G1796,G1792,G1789,G2302,G2154,G2034)</f>
        <v>1150970463.4900625</v>
      </c>
      <c r="H2403" s="968"/>
      <c r="I2403" s="969"/>
      <c r="J2403" s="742">
        <f>SUM(J2301,J2295,J2292,J2289,J2286,J2282,J2279,J2274,J2271,J2265,J2262,J2258,J2254,J2251,J2248,J2245,J2242,J2238,J2235,J2231,J2227,J2224,J2221,J2218,J2215,J2209,J2202,J2196,J2192,J2189,J2186,J2183,J2180,J2177,J2174,J2171,J2167,J2163,J2160,J2157,J2154,J2152,J2149,J2145,J2142,J2139,J2136,J2133,J2130,J2127,J2120,J2116,J2113,J2110,J2107,J2103,J2097,J2094,J2091,J2088,J2085,J2082,J2079,J2076,J2072,J2068,J2066,J2063,J2060,J2057,J2054,J2051,J2047,J2043,J2040,J2037,J2032,J2028,J2024,J2021,J2018,J2010,J2007,J2004,J1999,J1996,J1991,J1986,J1983,J1980,J1976,J1973,J1970,J1967,J1963,J1960,J1957,J1953,J1949,J1945,J1941,J1939,J1935,J1932,J1929,J1926,J1923,J1920,J1917,J1913,J1909,J1906,J1902,J1899,J1893,J1890,J1886,J1882,J1879,J1876,J1873,J1870,J1867,J1864,J1860,J1856,J1853,J1850,J1847,J1844,J1841,J1838,J1835,J1831,J1828,J1825,J1822,J1819,J1816,J1813,J1810,J1806,J1803,J1800,J1796,J1792,J1789)</f>
        <v>953318579.24000025</v>
      </c>
      <c r="K2403" s="742">
        <f>SUM(K2301,K2295,K2292,K2289,K2286,K2282,K2279,K2274,K2271,K2265,K2262,K2258,K2254,K2251,K2248,K2245,K2242,K2238,K2235,K2231,K2227,K2224,K2221,K2218,K2215,K2209,K2202,K2196,K2192,K2189,K2186,K2183,K2180,K2177,K2174,K2171,K2167,K2163,K2160,K2157,K2154,K2152,K2149,K2145,K2142,K2139,K2136,K2133,K2130,K2127,K2120,K2116,K2113,K2110,K2107,K2103,K2097,K2094,K2091,K2088,K2085,K2082,K2079,K2076,K2072,K2068,K2066,K2063,K2060,K2057,K2054,K2051,K2047,K2043,K2040,K2037,K2032,K2028,K2024,K2021,K2018,K2010,K2007,K2004,K1999,K1996,K1991,K1986,K1983,K1980,K1976,K1973,K1970,K1967,K1963,K1960,K1957,K1953,K1949,K1945,K1941,K1939,K1935,K1932,K1929,K1926,K1923,K1920,K1917,K1913,K1909,K1906,K1902,K1899,K1893,K1890,K1886,K1882,K1879,K1876,K1873,K1870,K1867,K1864,K1860,K1856,K1853,K1850,K1847,K1844,K1841,K1838,K1835,K1831,K1828,K1825,K1822,K1819,K1816,K1813,K1810,K1806,K1803,K1800,K1796,K1792,K1789)</f>
        <v>936530995.36000025</v>
      </c>
      <c r="L2403" s="741"/>
      <c r="M2403" s="742"/>
      <c r="N2403" s="937">
        <f>AVERAGE(N2301,N2295,N2292,N2289,N2286,N2282,N2279,N2274,N2271,N2265,N2262,N2258,N2254,N2251,N2248,N2245,N2242,N2238,N2235,N2231,N2227,N2224,N2221,N2218,N2215,N2209,N2202,N2196,N2192,N2189,N2186,N2183,N2180,N2177,N2174,N2171,N2167,N2163,N2160,N2157,N2152,N2149,N2145,N2142,N2139,N2136,N2133,N2130,N2127,N2120,N2116,N2113,N2110,N2107,N2103,N2097,N2094,N2091,N2088,N2085,N2082,N2079,N2076,N2072,N2066,N2063,N2060,N2057,N2054,N2051,N2047,N2043,N2040,N2037,N2032,N2028,N2024,N2021,N2018,N2010,N2007,N2004,N1999,N1996,N1991,N1986,N1983,N1980,N1976,N1973,N1970,N1967,N1963,N1960,N1957,N1953,N1949,N1945,N1941,N1939,N1935,N1932,N1929,N1926,N1923,N1920,N1917,N1913,N1909,N1906,N1902,N1899,N1893,N1890,N1886,N1882,N1879,N1876,N1873,N1870,N1867,N1864,N1860,N1856,N1853,N1850,N1847,N1844,N1841,N1838,N1835,N1831,N1828,N1825,N1822,N1819,N1816,N1813,N1810,N1806,N1803,N1800,N1796,N1792,N1789)</f>
        <v>0.92878160919540242</v>
      </c>
      <c r="O2403" s="938"/>
      <c r="P2403" s="351"/>
      <c r="Q2403" s="627"/>
      <c r="R2403" s="620"/>
      <c r="S2403" s="9"/>
      <c r="T2403" s="9"/>
      <c r="U2403" s="9"/>
      <c r="V2403" s="9"/>
    </row>
    <row r="2404" spans="1:22" ht="16.5" x14ac:dyDescent="0.25">
      <c r="A2404" s="398"/>
      <c r="B2404" s="398"/>
      <c r="C2404" s="398"/>
      <c r="D2404" s="661"/>
      <c r="E2404" s="132"/>
      <c r="F2404" s="132"/>
      <c r="G2404" s="661"/>
      <c r="H2404" s="132"/>
      <c r="I2404" s="913"/>
      <c r="J2404" s="335"/>
      <c r="K2404" s="335"/>
      <c r="L2404" s="496"/>
      <c r="M2404" s="335"/>
      <c r="N2404" s="305"/>
      <c r="O2404" s="299"/>
      <c r="P2404" s="417"/>
      <c r="Q2404" s="132"/>
      <c r="R2404" s="132"/>
    </row>
    <row r="2405" spans="1:22" ht="16.5" x14ac:dyDescent="0.25">
      <c r="A2405" s="398"/>
      <c r="B2405" s="398"/>
      <c r="C2405" s="398"/>
      <c r="D2405" s="661"/>
      <c r="E2405" s="132"/>
      <c r="F2405" s="132"/>
      <c r="G2405" s="661"/>
      <c r="H2405" s="132"/>
      <c r="I2405" s="913"/>
      <c r="J2405" s="676"/>
      <c r="K2405" s="335"/>
      <c r="L2405" s="496"/>
      <c r="M2405" s="335"/>
      <c r="N2405" s="305"/>
      <c r="O2405" s="299"/>
      <c r="P2405" s="417"/>
      <c r="Q2405" s="132"/>
      <c r="R2405" s="132"/>
    </row>
    <row r="2406" spans="1:22" x14ac:dyDescent="0.25">
      <c r="E2406" s="14"/>
      <c r="F2406" s="18"/>
      <c r="H2406" s="14"/>
      <c r="I2406" s="51"/>
      <c r="J2406" s="2"/>
      <c r="K2406" s="11"/>
      <c r="L2406" s="105"/>
      <c r="M2406" s="11"/>
    </row>
    <row r="2407" spans="1:22" x14ac:dyDescent="0.25">
      <c r="B2407" s="1" t="s">
        <v>1286</v>
      </c>
      <c r="E2407" s="1" t="s">
        <v>1287</v>
      </c>
      <c r="J2407" s="6"/>
    </row>
    <row r="2409" spans="1:22" x14ac:dyDescent="0.25">
      <c r="A2409" s="64"/>
      <c r="B2409" s="64"/>
    </row>
  </sheetData>
  <dataConsolidate>
    <dataRefs count="1">
      <dataRef ref="A7:XFD7" sheet="Алек-Сах" r:id="rId1"/>
    </dataRefs>
  </dataConsolidate>
  <mergeCells count="1853">
    <mergeCell ref="B1448:B1449"/>
    <mergeCell ref="A1376:B1376"/>
    <mergeCell ref="A1369:A1375"/>
    <mergeCell ref="B1369:B1375"/>
    <mergeCell ref="A1384:B1384"/>
    <mergeCell ref="H2384:H2402"/>
    <mergeCell ref="F1576:F1579"/>
    <mergeCell ref="E1576:E1579"/>
    <mergeCell ref="H1576:H1579"/>
    <mergeCell ref="F2098:F2100"/>
    <mergeCell ref="E2303:E2321"/>
    <mergeCell ref="F2303:F2321"/>
    <mergeCell ref="E2322:E2356"/>
    <mergeCell ref="F2322:F2356"/>
    <mergeCell ref="E2357:E2365"/>
    <mergeCell ref="F2357:F2365"/>
    <mergeCell ref="E2366:E2383"/>
    <mergeCell ref="F2366:F2383"/>
    <mergeCell ref="E2384:E2401"/>
    <mergeCell ref="F2384:F2401"/>
    <mergeCell ref="E1987:E1988"/>
    <mergeCell ref="F1987:F1988"/>
    <mergeCell ref="E1716:E1718"/>
    <mergeCell ref="F1716:F1718"/>
    <mergeCell ref="E1584:E1604"/>
    <mergeCell ref="F1584:F1604"/>
    <mergeCell ref="E2098:E2100"/>
    <mergeCell ref="H1777:H1784"/>
    <mergeCell ref="E1777:E1784"/>
    <mergeCell ref="F1777:F1784"/>
    <mergeCell ref="A2178:A2179"/>
    <mergeCell ref="B2178:B2179"/>
    <mergeCell ref="E956:E958"/>
    <mergeCell ref="F956:F958"/>
    <mergeCell ref="H956:H958"/>
    <mergeCell ref="H2303:H2321"/>
    <mergeCell ref="H2322:H2356"/>
    <mergeCell ref="H2357:H2365"/>
    <mergeCell ref="H2366:H2383"/>
    <mergeCell ref="F1500:F1503"/>
    <mergeCell ref="E1526:E1528"/>
    <mergeCell ref="A2274:B2274"/>
    <mergeCell ref="B2272:B2273"/>
    <mergeCell ref="A2272:A2273"/>
    <mergeCell ref="A2279:B2279"/>
    <mergeCell ref="A2262:B2262"/>
    <mergeCell ref="A2265:B2265"/>
    <mergeCell ref="A1816:B1816"/>
    <mergeCell ref="B1814:B1815"/>
    <mergeCell ref="A2287:A2288"/>
    <mergeCell ref="B2287:B2288"/>
    <mergeCell ref="A2290:A2291"/>
    <mergeCell ref="B2290:B2291"/>
    <mergeCell ref="A2293:A2294"/>
    <mergeCell ref="B2293:B2294"/>
    <mergeCell ref="A2143:A2144"/>
    <mergeCell ref="B2143:B2144"/>
    <mergeCell ref="A2150:A2151"/>
    <mergeCell ref="B2150:B2151"/>
    <mergeCell ref="A2164:A2166"/>
    <mergeCell ref="B2164:B2166"/>
    <mergeCell ref="A2168:A2170"/>
    <mergeCell ref="B2168:B2170"/>
    <mergeCell ref="A1461:O1461"/>
    <mergeCell ref="B1:K1"/>
    <mergeCell ref="H606:H610"/>
    <mergeCell ref="I606:I610"/>
    <mergeCell ref="E671:E676"/>
    <mergeCell ref="F671:F676"/>
    <mergeCell ref="H1716:H1718"/>
    <mergeCell ref="B1741:B1745"/>
    <mergeCell ref="I463:I464"/>
    <mergeCell ref="I53:I55"/>
    <mergeCell ref="I60:I63"/>
    <mergeCell ref="A76:B76"/>
    <mergeCell ref="A504:A505"/>
    <mergeCell ref="B504:B505"/>
    <mergeCell ref="A500:B500"/>
    <mergeCell ref="B497:B499"/>
    <mergeCell ref="A497:A499"/>
    <mergeCell ref="A605:C605"/>
    <mergeCell ref="H576:H580"/>
    <mergeCell ref="A670:C670"/>
    <mergeCell ref="B1544:B1545"/>
    <mergeCell ref="A1544:A1545"/>
    <mergeCell ref="A1549:B1549"/>
    <mergeCell ref="B1547:B1548"/>
    <mergeCell ref="A1547:A1548"/>
    <mergeCell ref="A1499:B1499"/>
    <mergeCell ref="B1567:B1568"/>
    <mergeCell ref="A1567:A1568"/>
    <mergeCell ref="A1569:B1569"/>
    <mergeCell ref="B92:B96"/>
    <mergeCell ref="A180:B180"/>
    <mergeCell ref="A178:A179"/>
    <mergeCell ref="E1533:E1535"/>
    <mergeCell ref="Q1894:Q1897"/>
    <mergeCell ref="Q926:Q928"/>
    <mergeCell ref="Q948:Q949"/>
    <mergeCell ref="Q956:Q958"/>
    <mergeCell ref="B134:C134"/>
    <mergeCell ref="B222:C222"/>
    <mergeCell ref="B240:C240"/>
    <mergeCell ref="B316:C316"/>
    <mergeCell ref="A2259:A2261"/>
    <mergeCell ref="B2259:B2261"/>
    <mergeCell ref="A1666:B1666"/>
    <mergeCell ref="B1664:B1665"/>
    <mergeCell ref="A1664:A1665"/>
    <mergeCell ref="A1669:B1669"/>
    <mergeCell ref="B1667:B1668"/>
    <mergeCell ref="A1667:A1668"/>
    <mergeCell ref="B2086:B2087"/>
    <mergeCell ref="A2089:A2090"/>
    <mergeCell ref="B2089:B2090"/>
    <mergeCell ref="A2092:A2093"/>
    <mergeCell ref="B2092:B2093"/>
    <mergeCell ref="A2095:A2096"/>
    <mergeCell ref="B2095:B2096"/>
    <mergeCell ref="A2098:A2102"/>
    <mergeCell ref="A2121:A2126"/>
    <mergeCell ref="C990:C991"/>
    <mergeCell ref="A2215:B2215"/>
    <mergeCell ref="B2121:B2126"/>
    <mergeCell ref="A1796:B1796"/>
    <mergeCell ref="A1800:B1800"/>
    <mergeCell ref="A1803:B1803"/>
    <mergeCell ref="A1811:A1812"/>
    <mergeCell ref="A2181:A2182"/>
    <mergeCell ref="B2181:B2182"/>
    <mergeCell ref="A2190:A2191"/>
    <mergeCell ref="B2190:B2191"/>
    <mergeCell ref="A2193:A2195"/>
    <mergeCell ref="B2193:B2195"/>
    <mergeCell ref="A2197:A2201"/>
    <mergeCell ref="B2197:B2201"/>
    <mergeCell ref="B2222:B2223"/>
    <mergeCell ref="A2222:A2223"/>
    <mergeCell ref="A2235:B2235"/>
    <mergeCell ref="A2238:B2238"/>
    <mergeCell ref="A2242:B2242"/>
    <mergeCell ref="A2227:B2227"/>
    <mergeCell ref="A2225:A2226"/>
    <mergeCell ref="A2202:B2202"/>
    <mergeCell ref="A2196:B2196"/>
    <mergeCell ref="A2204:B2204"/>
    <mergeCell ref="B2232:B2234"/>
    <mergeCell ref="A2236:A2237"/>
    <mergeCell ref="B2236:B2237"/>
    <mergeCell ref="A2239:A2241"/>
    <mergeCell ref="B2239:B2241"/>
    <mergeCell ref="A2248:B2248"/>
    <mergeCell ref="B2246:B2247"/>
    <mergeCell ref="B2225:B2226"/>
    <mergeCell ref="A2218:B2218"/>
    <mergeCell ref="A2245:B2245"/>
    <mergeCell ref="B2243:B2244"/>
    <mergeCell ref="A2243:A2244"/>
    <mergeCell ref="B2216:B2217"/>
    <mergeCell ref="A2219:A2220"/>
    <mergeCell ref="B2219:B2220"/>
    <mergeCell ref="A2228:A2230"/>
    <mergeCell ref="B2228:B2230"/>
    <mergeCell ref="A2232:A2234"/>
    <mergeCell ref="A2221:B2221"/>
    <mergeCell ref="A1787:A1788"/>
    <mergeCell ref="A1792:B1792"/>
    <mergeCell ref="B1790:B1791"/>
    <mergeCell ref="A1790:A1791"/>
    <mergeCell ref="B1793:B1795"/>
    <mergeCell ref="A1793:A1795"/>
    <mergeCell ref="A1797:A1799"/>
    <mergeCell ref="B1797:B1799"/>
    <mergeCell ref="A1801:A1802"/>
    <mergeCell ref="B1801:B1802"/>
    <mergeCell ref="A1825:B1825"/>
    <mergeCell ref="B1823:B1824"/>
    <mergeCell ref="A1823:A1824"/>
    <mergeCell ref="A1828:B1828"/>
    <mergeCell ref="B1826:B1827"/>
    <mergeCell ref="A1826:A1827"/>
    <mergeCell ref="A1831:B1831"/>
    <mergeCell ref="A1835:B1835"/>
    <mergeCell ref="A1740:B1740"/>
    <mergeCell ref="A1746:B1746"/>
    <mergeCell ref="A1751:B1751"/>
    <mergeCell ref="A1761:B1761"/>
    <mergeCell ref="A1765:B1765"/>
    <mergeCell ref="A1767:B1767"/>
    <mergeCell ref="A1771:B1771"/>
    <mergeCell ref="A1775:B1775"/>
    <mergeCell ref="A1762:A1764"/>
    <mergeCell ref="B1762:B1764"/>
    <mergeCell ref="A1768:A1770"/>
    <mergeCell ref="B1768:B1770"/>
    <mergeCell ref="A1772:A1774"/>
    <mergeCell ref="B1772:B1774"/>
    <mergeCell ref="B1776:C1776"/>
    <mergeCell ref="A1785:B1785"/>
    <mergeCell ref="A1789:B1789"/>
    <mergeCell ref="B1787:B1788"/>
    <mergeCell ref="A1757:B1757"/>
    <mergeCell ref="A1786:O1786"/>
    <mergeCell ref="A1758:A1760"/>
    <mergeCell ref="B1758:B1760"/>
    <mergeCell ref="A1564:B1564"/>
    <mergeCell ref="A1066:C1066"/>
    <mergeCell ref="D984:D985"/>
    <mergeCell ref="D990:D991"/>
    <mergeCell ref="A1632:A1633"/>
    <mergeCell ref="A1636:B1636"/>
    <mergeCell ref="B1533:B1539"/>
    <mergeCell ref="A1004:C1004"/>
    <mergeCell ref="B1734:B1739"/>
    <mergeCell ref="A1734:A1739"/>
    <mergeCell ref="B1483:B1484"/>
    <mergeCell ref="A1483:A1484"/>
    <mergeCell ref="A1488:B1488"/>
    <mergeCell ref="B1486:B1487"/>
    <mergeCell ref="B1471:B1472"/>
    <mergeCell ref="A1471:A1472"/>
    <mergeCell ref="A1476:B1476"/>
    <mergeCell ref="B1474:B1475"/>
    <mergeCell ref="A1474:A1475"/>
    <mergeCell ref="A1479:B1479"/>
    <mergeCell ref="B1477:B1478"/>
    <mergeCell ref="A1559:A1560"/>
    <mergeCell ref="B1497:B1498"/>
    <mergeCell ref="A1497:A1498"/>
    <mergeCell ref="A1506:B1506"/>
    <mergeCell ref="B1500:B1505"/>
    <mergeCell ref="A1500:A1505"/>
    <mergeCell ref="A1482:B1482"/>
    <mergeCell ref="B1480:B1481"/>
    <mergeCell ref="A1607:A1608"/>
    <mergeCell ref="A1612:B1612"/>
    <mergeCell ref="B1610:B1611"/>
    <mergeCell ref="H317:H324"/>
    <mergeCell ref="A199:A200"/>
    <mergeCell ref="B199:B200"/>
    <mergeCell ref="A177:B177"/>
    <mergeCell ref="A174:A176"/>
    <mergeCell ref="B174:B176"/>
    <mergeCell ref="A153:A154"/>
    <mergeCell ref="A1477:A1478"/>
    <mergeCell ref="A1464:B1464"/>
    <mergeCell ref="A478:A480"/>
    <mergeCell ref="B478:B480"/>
    <mergeCell ref="A484:B484"/>
    <mergeCell ref="A1741:A1745"/>
    <mergeCell ref="A1747:A1750"/>
    <mergeCell ref="B1747:B1750"/>
    <mergeCell ref="B1752:B1756"/>
    <mergeCell ref="A1752:A1756"/>
    <mergeCell ref="H335:H336"/>
    <mergeCell ref="E1722:E1725"/>
    <mergeCell ref="F1722:F1725"/>
    <mergeCell ref="H1722:H1725"/>
    <mergeCell ref="H508:H518"/>
    <mergeCell ref="H671:H676"/>
    <mergeCell ref="H697:H700"/>
    <mergeCell ref="H1005:H1011"/>
    <mergeCell ref="H1337:H1344"/>
    <mergeCell ref="H1456:H1459"/>
    <mergeCell ref="H1584:H1604"/>
    <mergeCell ref="E902:E913"/>
    <mergeCell ref="A1657:B1657"/>
    <mergeCell ref="B1655:B1656"/>
    <mergeCell ref="A1655:A1656"/>
    <mergeCell ref="A1576:A1579"/>
    <mergeCell ref="A1582:B1582"/>
    <mergeCell ref="A507:C507"/>
    <mergeCell ref="A606:A610"/>
    <mergeCell ref="A1561:B1561"/>
    <mergeCell ref="A1514:B1514"/>
    <mergeCell ref="B1507:B1513"/>
    <mergeCell ref="A1507:A1513"/>
    <mergeCell ref="A1518:B1518"/>
    <mergeCell ref="B1515:B1517"/>
    <mergeCell ref="A1515:A1517"/>
    <mergeCell ref="A1522:B1522"/>
    <mergeCell ref="A1519:A1521"/>
    <mergeCell ref="B1519:B1521"/>
    <mergeCell ref="A1541:A1542"/>
    <mergeCell ref="A1546:B1546"/>
    <mergeCell ref="A1496:B1496"/>
    <mergeCell ref="B1489:B1495"/>
    <mergeCell ref="A1486:A1487"/>
    <mergeCell ref="A1473:B1473"/>
    <mergeCell ref="B1559:B1560"/>
    <mergeCell ref="A1525:B1525"/>
    <mergeCell ref="B1523:B1524"/>
    <mergeCell ref="A1523:A1524"/>
    <mergeCell ref="A1532:B1532"/>
    <mergeCell ref="B1526:B1531"/>
    <mergeCell ref="A1526:A1531"/>
    <mergeCell ref="A1540:B1540"/>
    <mergeCell ref="A1480:A1481"/>
    <mergeCell ref="A1485:B1485"/>
    <mergeCell ref="C984:C985"/>
    <mergeCell ref="B1444:B1445"/>
    <mergeCell ref="A1715:B1715"/>
    <mergeCell ref="B1713:B1714"/>
    <mergeCell ref="A1713:A1714"/>
    <mergeCell ref="B1716:B1719"/>
    <mergeCell ref="A1716:A1719"/>
    <mergeCell ref="B1721:C1721"/>
    <mergeCell ref="B1726:B1727"/>
    <mergeCell ref="B1728:B1729"/>
    <mergeCell ref="B1730:B1731"/>
    <mergeCell ref="A1681:A1684"/>
    <mergeCell ref="A1663:B1663"/>
    <mergeCell ref="A1674:B1674"/>
    <mergeCell ref="B1632:B1633"/>
    <mergeCell ref="A1584:A1604"/>
    <mergeCell ref="A1680:B1680"/>
    <mergeCell ref="B1678:B1679"/>
    <mergeCell ref="A1678:A1679"/>
    <mergeCell ref="A1685:B1685"/>
    <mergeCell ref="B1681:B1684"/>
    <mergeCell ref="A1677:B1677"/>
    <mergeCell ref="B1675:B1676"/>
    <mergeCell ref="A1658:A1659"/>
    <mergeCell ref="A1610:A1611"/>
    <mergeCell ref="A1619:B1619"/>
    <mergeCell ref="B1613:B1618"/>
    <mergeCell ref="A1613:A1618"/>
    <mergeCell ref="B1607:B1608"/>
    <mergeCell ref="A1622:B1622"/>
    <mergeCell ref="B1620:B1621"/>
    <mergeCell ref="A1620:A1621"/>
    <mergeCell ref="A1626:A1627"/>
    <mergeCell ref="A1605:B1605"/>
    <mergeCell ref="A1533:A1539"/>
    <mergeCell ref="B1550:B1551"/>
    <mergeCell ref="A1550:A1551"/>
    <mergeCell ref="A1555:B1555"/>
    <mergeCell ref="B1553:B1554"/>
    <mergeCell ref="A1553:A1554"/>
    <mergeCell ref="A1558:B1558"/>
    <mergeCell ref="B1556:B1557"/>
    <mergeCell ref="A1556:A1557"/>
    <mergeCell ref="A1543:B1543"/>
    <mergeCell ref="B1541:B1542"/>
    <mergeCell ref="B1652:B1653"/>
    <mergeCell ref="A1652:A1653"/>
    <mergeCell ref="A1639:B1639"/>
    <mergeCell ref="B1637:B1638"/>
    <mergeCell ref="A1625:B1625"/>
    <mergeCell ref="B1623:B1624"/>
    <mergeCell ref="A1623:A1624"/>
    <mergeCell ref="A1628:B1628"/>
    <mergeCell ref="B1626:B1627"/>
    <mergeCell ref="A1609:B1609"/>
    <mergeCell ref="B1562:B1563"/>
    <mergeCell ref="A1562:A1563"/>
    <mergeCell ref="A1566:B1566"/>
    <mergeCell ref="A1552:B1552"/>
    <mergeCell ref="A1572:B1572"/>
    <mergeCell ref="B1570:B1571"/>
    <mergeCell ref="A1570:A1571"/>
    <mergeCell ref="A1575:B1575"/>
    <mergeCell ref="B1573:B1574"/>
    <mergeCell ref="A1573:A1574"/>
    <mergeCell ref="B1576:B1579"/>
    <mergeCell ref="B1670:B1673"/>
    <mergeCell ref="B1658:B1659"/>
    <mergeCell ref="B1661:B1662"/>
    <mergeCell ref="A1661:A1662"/>
    <mergeCell ref="A1648:B1648"/>
    <mergeCell ref="B1646:B1647"/>
    <mergeCell ref="A1646:A1647"/>
    <mergeCell ref="A1651:B1651"/>
    <mergeCell ref="B1649:B1650"/>
    <mergeCell ref="A1649:A1650"/>
    <mergeCell ref="A1654:B1654"/>
    <mergeCell ref="A1696:B1696"/>
    <mergeCell ref="B1692:B1695"/>
    <mergeCell ref="B1629:B1630"/>
    <mergeCell ref="A1629:A1630"/>
    <mergeCell ref="A1634:B1634"/>
    <mergeCell ref="A1583:C1583"/>
    <mergeCell ref="A1631:B1631"/>
    <mergeCell ref="A1660:B1660"/>
    <mergeCell ref="B1462:B1463"/>
    <mergeCell ref="A1462:A1463"/>
    <mergeCell ref="A1467:B1467"/>
    <mergeCell ref="B1465:B1466"/>
    <mergeCell ref="A1465:A1466"/>
    <mergeCell ref="A1470:B1470"/>
    <mergeCell ref="B1468:B1469"/>
    <mergeCell ref="A1468:A1469"/>
    <mergeCell ref="A1732:B1732"/>
    <mergeCell ref="A1701:B1701"/>
    <mergeCell ref="B1697:B1700"/>
    <mergeCell ref="A1697:A1700"/>
    <mergeCell ref="A1705:B1705"/>
    <mergeCell ref="B1702:B1704"/>
    <mergeCell ref="A1702:A1704"/>
    <mergeCell ref="A1709:B1709"/>
    <mergeCell ref="B1706:B1708"/>
    <mergeCell ref="A1706:A1708"/>
    <mergeCell ref="A1688:B1688"/>
    <mergeCell ref="B1686:B1687"/>
    <mergeCell ref="A1686:A1687"/>
    <mergeCell ref="A1691:B1691"/>
    <mergeCell ref="B1689:B1690"/>
    <mergeCell ref="A1689:A1690"/>
    <mergeCell ref="A1710:A1711"/>
    <mergeCell ref="A1637:A1638"/>
    <mergeCell ref="A1642:B1642"/>
    <mergeCell ref="B1640:B1641"/>
    <mergeCell ref="A1640:A1641"/>
    <mergeCell ref="A1645:B1645"/>
    <mergeCell ref="B1643:B1644"/>
    <mergeCell ref="A1643:A1644"/>
    <mergeCell ref="B1452:B1453"/>
    <mergeCell ref="B1454:B1455"/>
    <mergeCell ref="A1692:A1695"/>
    <mergeCell ref="A1712:B1712"/>
    <mergeCell ref="B1710:B1711"/>
    <mergeCell ref="A1413:A1416"/>
    <mergeCell ref="A1420:B1420"/>
    <mergeCell ref="B1418:B1419"/>
    <mergeCell ref="A1418:A1419"/>
    <mergeCell ref="A1399:B1399"/>
    <mergeCell ref="B1393:B1398"/>
    <mergeCell ref="A1393:A1398"/>
    <mergeCell ref="A1400:A1401"/>
    <mergeCell ref="A1409:B1409"/>
    <mergeCell ref="B1403:B1408"/>
    <mergeCell ref="A1403:A1408"/>
    <mergeCell ref="A1670:A1673"/>
    <mergeCell ref="A1675:A1676"/>
    <mergeCell ref="A1421:A1426"/>
    <mergeCell ref="A1430:B1430"/>
    <mergeCell ref="B1428:B1429"/>
    <mergeCell ref="A1428:A1429"/>
    <mergeCell ref="A1435:B1435"/>
    <mergeCell ref="B1431:B1434"/>
    <mergeCell ref="A1431:A1434"/>
    <mergeCell ref="B1447:C1447"/>
    <mergeCell ref="B1450:B1451"/>
    <mergeCell ref="A1489:A1495"/>
    <mergeCell ref="A1440:B1440"/>
    <mergeCell ref="B1436:B1439"/>
    <mergeCell ref="A1436:A1439"/>
    <mergeCell ref="A1443:B1443"/>
    <mergeCell ref="B1441:B1442"/>
    <mergeCell ref="A1441:A1442"/>
    <mergeCell ref="A1446:B1446"/>
    <mergeCell ref="A1460:B1460"/>
    <mergeCell ref="A1444:A1445"/>
    <mergeCell ref="A1427:B1427"/>
    <mergeCell ref="B1421:B1426"/>
    <mergeCell ref="A1358:B1358"/>
    <mergeCell ref="B1356:B1357"/>
    <mergeCell ref="A1356:A1357"/>
    <mergeCell ref="A1361:B1361"/>
    <mergeCell ref="B1359:B1360"/>
    <mergeCell ref="A1359:A1360"/>
    <mergeCell ref="A1368:B1368"/>
    <mergeCell ref="B1362:B1367"/>
    <mergeCell ref="A1362:A1367"/>
    <mergeCell ref="A1345:B1345"/>
    <mergeCell ref="A1349:B1349"/>
    <mergeCell ref="B1347:B1348"/>
    <mergeCell ref="A1347:A1348"/>
    <mergeCell ref="A1352:B1352"/>
    <mergeCell ref="B1350:B1351"/>
    <mergeCell ref="A1350:A1351"/>
    <mergeCell ref="A1355:B1355"/>
    <mergeCell ref="B1353:B1354"/>
    <mergeCell ref="A1353:A1354"/>
    <mergeCell ref="A1346:O1346"/>
    <mergeCell ref="B1377:B1383"/>
    <mergeCell ref="A1377:A1383"/>
    <mergeCell ref="A1392:B1392"/>
    <mergeCell ref="B1385:B1391"/>
    <mergeCell ref="A1385:A1391"/>
    <mergeCell ref="A1412:B1412"/>
    <mergeCell ref="B1410:B1411"/>
    <mergeCell ref="A1410:A1411"/>
    <mergeCell ref="A1417:B1417"/>
    <mergeCell ref="B1413:B1416"/>
    <mergeCell ref="A1326:B1326"/>
    <mergeCell ref="A1332:B1332"/>
    <mergeCell ref="B1327:B1331"/>
    <mergeCell ref="A1327:A1331"/>
    <mergeCell ref="A1335:B1335"/>
    <mergeCell ref="B1333:B1334"/>
    <mergeCell ref="A1333:A1334"/>
    <mergeCell ref="B1336:C1336"/>
    <mergeCell ref="A1310:B1310"/>
    <mergeCell ref="B1308:B1309"/>
    <mergeCell ref="A1308:A1309"/>
    <mergeCell ref="A1313:B1313"/>
    <mergeCell ref="B1311:B1312"/>
    <mergeCell ref="A1311:A1312"/>
    <mergeCell ref="A1320:B1320"/>
    <mergeCell ref="B1314:B1319"/>
    <mergeCell ref="A1314:A1319"/>
    <mergeCell ref="B1400:B1401"/>
    <mergeCell ref="A1402:B1402"/>
    <mergeCell ref="A1302:B1302"/>
    <mergeCell ref="A1321:A1325"/>
    <mergeCell ref="B1321:B1325"/>
    <mergeCell ref="B1300:B1301"/>
    <mergeCell ref="A1300:A1301"/>
    <mergeCell ref="A1304:B1304"/>
    <mergeCell ref="A1307:B1307"/>
    <mergeCell ref="B1305:B1306"/>
    <mergeCell ref="A1305:A1306"/>
    <mergeCell ref="A1293:B1293"/>
    <mergeCell ref="B1289:B1292"/>
    <mergeCell ref="A1289:A1292"/>
    <mergeCell ref="A1296:B1296"/>
    <mergeCell ref="B1294:B1295"/>
    <mergeCell ref="A1294:A1295"/>
    <mergeCell ref="A1299:B1299"/>
    <mergeCell ref="B1297:B1298"/>
    <mergeCell ref="A1297:A1298"/>
    <mergeCell ref="A1282:B1282"/>
    <mergeCell ref="B1280:B1281"/>
    <mergeCell ref="A1280:A1281"/>
    <mergeCell ref="A1285:B1285"/>
    <mergeCell ref="B1283:B1284"/>
    <mergeCell ref="A1283:A1284"/>
    <mergeCell ref="A1288:B1288"/>
    <mergeCell ref="B1286:B1287"/>
    <mergeCell ref="A1286:A1287"/>
    <mergeCell ref="A1272:B1272"/>
    <mergeCell ref="B1266:B1271"/>
    <mergeCell ref="A1266:A1271"/>
    <mergeCell ref="A1276:B1276"/>
    <mergeCell ref="B1273:B1275"/>
    <mergeCell ref="A1273:A1275"/>
    <mergeCell ref="A1279:B1279"/>
    <mergeCell ref="B1277:B1278"/>
    <mergeCell ref="A1277:A1278"/>
    <mergeCell ref="A1256:B1256"/>
    <mergeCell ref="B1254:B1255"/>
    <mergeCell ref="A1254:A1255"/>
    <mergeCell ref="A1258:B1258"/>
    <mergeCell ref="A1262:B1262"/>
    <mergeCell ref="B1260:B1261"/>
    <mergeCell ref="A1260:A1261"/>
    <mergeCell ref="A1265:B1265"/>
    <mergeCell ref="B1263:B1264"/>
    <mergeCell ref="A1263:A1264"/>
    <mergeCell ref="B1257:C1257"/>
    <mergeCell ref="A1246:B1246"/>
    <mergeCell ref="A1250:B1250"/>
    <mergeCell ref="A1253:B1253"/>
    <mergeCell ref="B1251:B1252"/>
    <mergeCell ref="A1251:A1252"/>
    <mergeCell ref="A1239:B1239"/>
    <mergeCell ref="A1242:B1242"/>
    <mergeCell ref="B1240:B1241"/>
    <mergeCell ref="A1240:A1241"/>
    <mergeCell ref="A1259:O1259"/>
    <mergeCell ref="B1236:B1238"/>
    <mergeCell ref="A1236:A1238"/>
    <mergeCell ref="B1243:B1245"/>
    <mergeCell ref="A1243:A1245"/>
    <mergeCell ref="B1247:B1249"/>
    <mergeCell ref="A1247:A1249"/>
    <mergeCell ref="A1228:B1228"/>
    <mergeCell ref="A1231:B1231"/>
    <mergeCell ref="A1235:B1235"/>
    <mergeCell ref="A1221:B1221"/>
    <mergeCell ref="A1224:B1224"/>
    <mergeCell ref="B1222:B1223"/>
    <mergeCell ref="A1222:A1223"/>
    <mergeCell ref="A1226:B1226"/>
    <mergeCell ref="A1213:B1213"/>
    <mergeCell ref="A1217:B1217"/>
    <mergeCell ref="A1219:B1219"/>
    <mergeCell ref="B1210:B1212"/>
    <mergeCell ref="A1210:A1212"/>
    <mergeCell ref="B1214:B1216"/>
    <mergeCell ref="A1214:A1216"/>
    <mergeCell ref="B1229:B1230"/>
    <mergeCell ref="A1229:A1230"/>
    <mergeCell ref="A1232:A1234"/>
    <mergeCell ref="B1232:B1234"/>
    <mergeCell ref="A1201:B1201"/>
    <mergeCell ref="B1199:B1200"/>
    <mergeCell ref="A1199:A1200"/>
    <mergeCell ref="A1205:B1205"/>
    <mergeCell ref="A1209:B1209"/>
    <mergeCell ref="A1192:B1192"/>
    <mergeCell ref="A1195:B1195"/>
    <mergeCell ref="B1193:B1194"/>
    <mergeCell ref="A1193:A1194"/>
    <mergeCell ref="A1198:B1198"/>
    <mergeCell ref="B1196:B1197"/>
    <mergeCell ref="A1196:A1197"/>
    <mergeCell ref="A1189:A1191"/>
    <mergeCell ref="B1189:B1191"/>
    <mergeCell ref="B1202:B1204"/>
    <mergeCell ref="A1202:A1204"/>
    <mergeCell ref="A1206:A1208"/>
    <mergeCell ref="B1206:B1208"/>
    <mergeCell ref="A1181:B1181"/>
    <mergeCell ref="A1179:A1180"/>
    <mergeCell ref="A1185:B1185"/>
    <mergeCell ref="A1188:B1188"/>
    <mergeCell ref="B1186:B1187"/>
    <mergeCell ref="A1186:A1187"/>
    <mergeCell ref="A1168:B1168"/>
    <mergeCell ref="A1172:B1172"/>
    <mergeCell ref="B1170:B1171"/>
    <mergeCell ref="A1170:A1171"/>
    <mergeCell ref="A1175:B1175"/>
    <mergeCell ref="A1173:A1174"/>
    <mergeCell ref="B1173:B1174"/>
    <mergeCell ref="A1178:B1178"/>
    <mergeCell ref="B1176:B1177"/>
    <mergeCell ref="A1176:A1177"/>
    <mergeCell ref="A1169:O1169"/>
    <mergeCell ref="B1179:B1180"/>
    <mergeCell ref="B1182:B1184"/>
    <mergeCell ref="A1182:A1184"/>
    <mergeCell ref="A1160:B1160"/>
    <mergeCell ref="B1158:B1159"/>
    <mergeCell ref="A1158:A1159"/>
    <mergeCell ref="A1163:B1163"/>
    <mergeCell ref="B1161:B1162"/>
    <mergeCell ref="A1161:A1162"/>
    <mergeCell ref="A1166:B1166"/>
    <mergeCell ref="B1164:B1165"/>
    <mergeCell ref="A1164:A1165"/>
    <mergeCell ref="A1151:B1151"/>
    <mergeCell ref="A1154:B1154"/>
    <mergeCell ref="B1152:B1153"/>
    <mergeCell ref="A1152:A1153"/>
    <mergeCell ref="A1157:B1157"/>
    <mergeCell ref="B1155:B1156"/>
    <mergeCell ref="A1155:A1156"/>
    <mergeCell ref="A1143:B1143"/>
    <mergeCell ref="A1146:B1146"/>
    <mergeCell ref="B1144:B1145"/>
    <mergeCell ref="A1144:A1145"/>
    <mergeCell ref="A1149:B1149"/>
    <mergeCell ref="B1147:B1148"/>
    <mergeCell ref="A1147:A1148"/>
    <mergeCell ref="A1135:B1135"/>
    <mergeCell ref="B1133:B1134"/>
    <mergeCell ref="A1133:A1134"/>
    <mergeCell ref="A1138:B1138"/>
    <mergeCell ref="B1136:B1137"/>
    <mergeCell ref="A1136:A1137"/>
    <mergeCell ref="A1141:B1141"/>
    <mergeCell ref="B1139:B1140"/>
    <mergeCell ref="A1139:A1140"/>
    <mergeCell ref="A1126:B1126"/>
    <mergeCell ref="B1124:B1125"/>
    <mergeCell ref="A1124:A1125"/>
    <mergeCell ref="A1129:B1129"/>
    <mergeCell ref="B1127:B1128"/>
    <mergeCell ref="A1127:A1128"/>
    <mergeCell ref="A1132:B1132"/>
    <mergeCell ref="B1130:B1131"/>
    <mergeCell ref="A1130:A1131"/>
    <mergeCell ref="A1118:B1118"/>
    <mergeCell ref="A1121:B1121"/>
    <mergeCell ref="B1119:B1120"/>
    <mergeCell ref="A1119:A1120"/>
    <mergeCell ref="A1123:B1123"/>
    <mergeCell ref="A1111:B1111"/>
    <mergeCell ref="A1113:B1113"/>
    <mergeCell ref="A1116:B1116"/>
    <mergeCell ref="B1114:B1115"/>
    <mergeCell ref="A1114:A1115"/>
    <mergeCell ref="A1105:B1105"/>
    <mergeCell ref="B1103:B1104"/>
    <mergeCell ref="A1103:A1104"/>
    <mergeCell ref="A1107:B1107"/>
    <mergeCell ref="A1109:B1109"/>
    <mergeCell ref="A1096:B1096"/>
    <mergeCell ref="B1094:B1095"/>
    <mergeCell ref="A1094:A1095"/>
    <mergeCell ref="A1099:B1099"/>
    <mergeCell ref="B1097:B1098"/>
    <mergeCell ref="A1097:A1098"/>
    <mergeCell ref="A1102:B1102"/>
    <mergeCell ref="B1100:B1101"/>
    <mergeCell ref="A1100:A1101"/>
    <mergeCell ref="A1080:B1080"/>
    <mergeCell ref="B1034:B1035"/>
    <mergeCell ref="A1034:A1035"/>
    <mergeCell ref="A1036:B1036"/>
    <mergeCell ref="A1039:B1039"/>
    <mergeCell ref="B1037:B1038"/>
    <mergeCell ref="A1037:A1038"/>
    <mergeCell ref="A1087:B1087"/>
    <mergeCell ref="A1090:B1090"/>
    <mergeCell ref="B1088:B1089"/>
    <mergeCell ref="A1088:A1089"/>
    <mergeCell ref="A1093:B1093"/>
    <mergeCell ref="B1091:B1092"/>
    <mergeCell ref="A1091:A1092"/>
    <mergeCell ref="A1082:B1082"/>
    <mergeCell ref="A1085:B1085"/>
    <mergeCell ref="B1083:B1084"/>
    <mergeCell ref="A1083:A1084"/>
    <mergeCell ref="A1062:B1062"/>
    <mergeCell ref="B1060:B1061"/>
    <mergeCell ref="A1060:A1061"/>
    <mergeCell ref="A1065:B1065"/>
    <mergeCell ref="B1063:B1064"/>
    <mergeCell ref="A1063:A1064"/>
    <mergeCell ref="A1075:B1075"/>
    <mergeCell ref="A1078:B1078"/>
    <mergeCell ref="A1053:B1053"/>
    <mergeCell ref="B1051:B1052"/>
    <mergeCell ref="A1051:A1052"/>
    <mergeCell ref="A1067:A1074"/>
    <mergeCell ref="A1012:B1012"/>
    <mergeCell ref="A1017:B1017"/>
    <mergeCell ref="B1014:B1016"/>
    <mergeCell ref="A1014:A1016"/>
    <mergeCell ref="A1076:O1076"/>
    <mergeCell ref="A1056:B1056"/>
    <mergeCell ref="B1054:B1055"/>
    <mergeCell ref="A1054:A1055"/>
    <mergeCell ref="A1059:B1059"/>
    <mergeCell ref="B1057:B1058"/>
    <mergeCell ref="A1057:A1058"/>
    <mergeCell ref="A1042:B1042"/>
    <mergeCell ref="B1040:B1041"/>
    <mergeCell ref="A1040:A1041"/>
    <mergeCell ref="A1046:B1046"/>
    <mergeCell ref="B1043:B1045"/>
    <mergeCell ref="A1043:A1045"/>
    <mergeCell ref="A1050:B1050"/>
    <mergeCell ref="B1047:B1049"/>
    <mergeCell ref="A1047:A1049"/>
    <mergeCell ref="E1067:E1074"/>
    <mergeCell ref="F1067:F1074"/>
    <mergeCell ref="H1067:H1074"/>
    <mergeCell ref="I1067:I1074"/>
    <mergeCell ref="B995:B1000"/>
    <mergeCell ref="A995:A1000"/>
    <mergeCell ref="A974:B974"/>
    <mergeCell ref="A931:B931"/>
    <mergeCell ref="B925:B930"/>
    <mergeCell ref="A925:A930"/>
    <mergeCell ref="B972:B973"/>
    <mergeCell ref="A972:A973"/>
    <mergeCell ref="A982:B982"/>
    <mergeCell ref="B975:B981"/>
    <mergeCell ref="A975:A981"/>
    <mergeCell ref="A988:B988"/>
    <mergeCell ref="B983:B987"/>
    <mergeCell ref="A983:A987"/>
    <mergeCell ref="A1033:B1033"/>
    <mergeCell ref="B1031:B1032"/>
    <mergeCell ref="A1031:A1032"/>
    <mergeCell ref="A1021:B1021"/>
    <mergeCell ref="B1018:B1020"/>
    <mergeCell ref="A1018:A1020"/>
    <mergeCell ref="A1025:B1025"/>
    <mergeCell ref="A971:B971"/>
    <mergeCell ref="B966:B970"/>
    <mergeCell ref="A966:A970"/>
    <mergeCell ref="A1013:O1013"/>
    <mergeCell ref="H966:H968"/>
    <mergeCell ref="B1022:B1024"/>
    <mergeCell ref="A1022:A1024"/>
    <mergeCell ref="A1030:B1030"/>
    <mergeCell ref="B1026:B1029"/>
    <mergeCell ref="A1026:A1029"/>
    <mergeCell ref="A962:B962"/>
    <mergeCell ref="B955:B961"/>
    <mergeCell ref="A955:A961"/>
    <mergeCell ref="A965:B965"/>
    <mergeCell ref="B963:B964"/>
    <mergeCell ref="A963:A964"/>
    <mergeCell ref="A878:B878"/>
    <mergeCell ref="A939:B939"/>
    <mergeCell ref="B932:B938"/>
    <mergeCell ref="A932:A938"/>
    <mergeCell ref="A947:B947"/>
    <mergeCell ref="B940:B946"/>
    <mergeCell ref="A940:A946"/>
    <mergeCell ref="A954:B954"/>
    <mergeCell ref="B948:B953"/>
    <mergeCell ref="A948:A953"/>
    <mergeCell ref="A994:B994"/>
    <mergeCell ref="B989:B993"/>
    <mergeCell ref="A989:A993"/>
    <mergeCell ref="A887:B887"/>
    <mergeCell ref="B879:B886"/>
    <mergeCell ref="A879:A886"/>
    <mergeCell ref="A921:B921"/>
    <mergeCell ref="A924:B924"/>
    <mergeCell ref="B922:B923"/>
    <mergeCell ref="A922:A923"/>
    <mergeCell ref="B919:B920"/>
    <mergeCell ref="A919:A920"/>
    <mergeCell ref="A915:O915"/>
    <mergeCell ref="A891:B891"/>
    <mergeCell ref="B888:B890"/>
    <mergeCell ref="A888:A890"/>
    <mergeCell ref="A900:B900"/>
    <mergeCell ref="B892:B899"/>
    <mergeCell ref="A892:A899"/>
    <mergeCell ref="A914:B914"/>
    <mergeCell ref="A918:B918"/>
    <mergeCell ref="B916:B917"/>
    <mergeCell ref="A916:A917"/>
    <mergeCell ref="B901:C901"/>
    <mergeCell ref="A828:B828"/>
    <mergeCell ref="B819:B827"/>
    <mergeCell ref="A819:A827"/>
    <mergeCell ref="A836:B836"/>
    <mergeCell ref="B829:B835"/>
    <mergeCell ref="A829:A835"/>
    <mergeCell ref="A796:B796"/>
    <mergeCell ref="B794:B795"/>
    <mergeCell ref="A794:A795"/>
    <mergeCell ref="A798:B798"/>
    <mergeCell ref="A808:B808"/>
    <mergeCell ref="B799:B807"/>
    <mergeCell ref="A799:A807"/>
    <mergeCell ref="A870:B870"/>
    <mergeCell ref="B862:B869"/>
    <mergeCell ref="A862:A869"/>
    <mergeCell ref="B871:B877"/>
    <mergeCell ref="A871:A877"/>
    <mergeCell ref="A844:B844"/>
    <mergeCell ref="B837:B843"/>
    <mergeCell ref="A837:A843"/>
    <mergeCell ref="A852:B852"/>
    <mergeCell ref="B845:B851"/>
    <mergeCell ref="A845:A851"/>
    <mergeCell ref="A861:B861"/>
    <mergeCell ref="B853:B860"/>
    <mergeCell ref="A853:A860"/>
    <mergeCell ref="B788:B789"/>
    <mergeCell ref="A788:A789"/>
    <mergeCell ref="A793:B793"/>
    <mergeCell ref="B791:B792"/>
    <mergeCell ref="A791:A792"/>
    <mergeCell ref="A779:B779"/>
    <mergeCell ref="B777:B778"/>
    <mergeCell ref="A777:A778"/>
    <mergeCell ref="A782:B782"/>
    <mergeCell ref="B780:B781"/>
    <mergeCell ref="A780:A781"/>
    <mergeCell ref="A785:B785"/>
    <mergeCell ref="B783:B784"/>
    <mergeCell ref="A783:A784"/>
    <mergeCell ref="A790:B790"/>
    <mergeCell ref="A818:B818"/>
    <mergeCell ref="B809:B817"/>
    <mergeCell ref="A809:A817"/>
    <mergeCell ref="A771:B771"/>
    <mergeCell ref="B769:B770"/>
    <mergeCell ref="A769:A770"/>
    <mergeCell ref="A774:B774"/>
    <mergeCell ref="B772:B773"/>
    <mergeCell ref="A772:A773"/>
    <mergeCell ref="A759:B759"/>
    <mergeCell ref="B752:B758"/>
    <mergeCell ref="A752:A758"/>
    <mergeCell ref="A762:B762"/>
    <mergeCell ref="A765:B765"/>
    <mergeCell ref="B763:B764"/>
    <mergeCell ref="A763:A764"/>
    <mergeCell ref="A787:B787"/>
    <mergeCell ref="A743:B743"/>
    <mergeCell ref="B736:B742"/>
    <mergeCell ref="A736:A742"/>
    <mergeCell ref="A751:B751"/>
    <mergeCell ref="B744:B750"/>
    <mergeCell ref="A744:A750"/>
    <mergeCell ref="A776:B776"/>
    <mergeCell ref="A728:B728"/>
    <mergeCell ref="B721:B727"/>
    <mergeCell ref="A721:A727"/>
    <mergeCell ref="A730:B730"/>
    <mergeCell ref="B661:B662"/>
    <mergeCell ref="A661:A662"/>
    <mergeCell ref="A666:B666"/>
    <mergeCell ref="A732:B732"/>
    <mergeCell ref="A768:B768"/>
    <mergeCell ref="A701:B701"/>
    <mergeCell ref="A711:B711"/>
    <mergeCell ref="B703:B710"/>
    <mergeCell ref="A703:A710"/>
    <mergeCell ref="A720:B720"/>
    <mergeCell ref="B712:B719"/>
    <mergeCell ref="A712:A719"/>
    <mergeCell ref="A688:B688"/>
    <mergeCell ref="B686:B687"/>
    <mergeCell ref="A686:A687"/>
    <mergeCell ref="A690:B690"/>
    <mergeCell ref="A692:B692"/>
    <mergeCell ref="A735:B735"/>
    <mergeCell ref="B733:B734"/>
    <mergeCell ref="A733:A734"/>
    <mergeCell ref="A702:O702"/>
    <mergeCell ref="A760:A761"/>
    <mergeCell ref="B760:B761"/>
    <mergeCell ref="A766:A767"/>
    <mergeCell ref="B766:B767"/>
    <mergeCell ref="L697:L700"/>
    <mergeCell ref="B683:B684"/>
    <mergeCell ref="A683:A684"/>
    <mergeCell ref="A618:B618"/>
    <mergeCell ref="B616:B617"/>
    <mergeCell ref="A616:A617"/>
    <mergeCell ref="A592:B592"/>
    <mergeCell ref="B589:B591"/>
    <mergeCell ref="A589:A591"/>
    <mergeCell ref="A596:B596"/>
    <mergeCell ref="B593:B595"/>
    <mergeCell ref="A593:A595"/>
    <mergeCell ref="A600:B600"/>
    <mergeCell ref="B597:B599"/>
    <mergeCell ref="A597:A599"/>
    <mergeCell ref="A604:B604"/>
    <mergeCell ref="I359:I360"/>
    <mergeCell ref="H497:H498"/>
    <mergeCell ref="B448:B450"/>
    <mergeCell ref="A581:B581"/>
    <mergeCell ref="A585:B585"/>
    <mergeCell ref="B583:B584"/>
    <mergeCell ref="A503:B503"/>
    <mergeCell ref="B501:B502"/>
    <mergeCell ref="A501:A502"/>
    <mergeCell ref="A487:B487"/>
    <mergeCell ref="A385:B385"/>
    <mergeCell ref="A383:A384"/>
    <mergeCell ref="A448:A450"/>
    <mergeCell ref="A490:A492"/>
    <mergeCell ref="B485:B486"/>
    <mergeCell ref="A485:A486"/>
    <mergeCell ref="A489:B489"/>
    <mergeCell ref="A493:B493"/>
    <mergeCell ref="B490:B492"/>
    <mergeCell ref="B571:B573"/>
    <mergeCell ref="A571:A573"/>
    <mergeCell ref="A576:A580"/>
    <mergeCell ref="A575:B575"/>
    <mergeCell ref="E576:E580"/>
    <mergeCell ref="F576:F580"/>
    <mergeCell ref="A541:B541"/>
    <mergeCell ref="B535:B540"/>
    <mergeCell ref="A535:A540"/>
    <mergeCell ref="A481:B481"/>
    <mergeCell ref="B52:B58"/>
    <mergeCell ref="A68:A69"/>
    <mergeCell ref="I327:I329"/>
    <mergeCell ref="I335:I336"/>
    <mergeCell ref="A611:B611"/>
    <mergeCell ref="A615:B615"/>
    <mergeCell ref="B613:B614"/>
    <mergeCell ref="A613:A614"/>
    <mergeCell ref="H53:H55"/>
    <mergeCell ref="H61:H62"/>
    <mergeCell ref="A115:B115"/>
    <mergeCell ref="A159:A160"/>
    <mergeCell ref="B159:B160"/>
    <mergeCell ref="A161:B161"/>
    <mergeCell ref="A164:B164"/>
    <mergeCell ref="A162:A163"/>
    <mergeCell ref="B162:B163"/>
    <mergeCell ref="B156:B157"/>
    <mergeCell ref="A152:B152"/>
    <mergeCell ref="H135:H144"/>
    <mergeCell ref="A110:A114"/>
    <mergeCell ref="B110:B114"/>
    <mergeCell ref="A14:B14"/>
    <mergeCell ref="A15:A18"/>
    <mergeCell ref="B15:B18"/>
    <mergeCell ref="A40:B40"/>
    <mergeCell ref="A46:A47"/>
    <mergeCell ref="B46:B47"/>
    <mergeCell ref="A48:B48"/>
    <mergeCell ref="A49:A50"/>
    <mergeCell ref="B49:B50"/>
    <mergeCell ref="A34:B34"/>
    <mergeCell ref="A35:A36"/>
    <mergeCell ref="B35:B36"/>
    <mergeCell ref="A37:B37"/>
    <mergeCell ref="A38:A39"/>
    <mergeCell ref="B38:B39"/>
    <mergeCell ref="A31:B31"/>
    <mergeCell ref="A32:A33"/>
    <mergeCell ref="B32:B33"/>
    <mergeCell ref="B29:B30"/>
    <mergeCell ref="B20:B24"/>
    <mergeCell ref="A41:A44"/>
    <mergeCell ref="B41:B44"/>
    <mergeCell ref="A45:B45"/>
    <mergeCell ref="A28:B28"/>
    <mergeCell ref="A26:A27"/>
    <mergeCell ref="B26:B27"/>
    <mergeCell ref="A29:A30"/>
    <mergeCell ref="A534:B534"/>
    <mergeCell ref="B528:B533"/>
    <mergeCell ref="A528:A533"/>
    <mergeCell ref="A455:B455"/>
    <mergeCell ref="A452:A454"/>
    <mergeCell ref="B452:B454"/>
    <mergeCell ref="A170:B170"/>
    <mergeCell ref="A168:A169"/>
    <mergeCell ref="B122:B126"/>
    <mergeCell ref="A67:B67"/>
    <mergeCell ref="B116:B120"/>
    <mergeCell ref="B68:B69"/>
    <mergeCell ref="A70:B70"/>
    <mergeCell ref="A71:A72"/>
    <mergeCell ref="B71:B72"/>
    <mergeCell ref="A109:B109"/>
    <mergeCell ref="B98:B99"/>
    <mergeCell ref="B147:B151"/>
    <mergeCell ref="A127:B127"/>
    <mergeCell ref="A128:A132"/>
    <mergeCell ref="B128:B132"/>
    <mergeCell ref="A133:B133"/>
    <mergeCell ref="A145:B145"/>
    <mergeCell ref="A116:A120"/>
    <mergeCell ref="A121:B121"/>
    <mergeCell ref="A233:A238"/>
    <mergeCell ref="B233:B238"/>
    <mergeCell ref="A171:A172"/>
    <mergeCell ref="B178:B179"/>
    <mergeCell ref="A122:A126"/>
    <mergeCell ref="A6:A10"/>
    <mergeCell ref="B6:B10"/>
    <mergeCell ref="A11:B11"/>
    <mergeCell ref="A19:B19"/>
    <mergeCell ref="A20:A24"/>
    <mergeCell ref="A103:B103"/>
    <mergeCell ref="A104:A108"/>
    <mergeCell ref="B104:B108"/>
    <mergeCell ref="A59:B59"/>
    <mergeCell ref="A60:A66"/>
    <mergeCell ref="B60:B66"/>
    <mergeCell ref="A79:B79"/>
    <mergeCell ref="A80:A84"/>
    <mergeCell ref="B80:B84"/>
    <mergeCell ref="A85:B85"/>
    <mergeCell ref="A86:A90"/>
    <mergeCell ref="B86:B90"/>
    <mergeCell ref="A100:B100"/>
    <mergeCell ref="A73:B73"/>
    <mergeCell ref="A74:A75"/>
    <mergeCell ref="B74:B75"/>
    <mergeCell ref="A77:A78"/>
    <mergeCell ref="B77:B78"/>
    <mergeCell ref="A91:B91"/>
    <mergeCell ref="A51:B51"/>
    <mergeCell ref="A52:A58"/>
    <mergeCell ref="A92:A96"/>
    <mergeCell ref="A25:B25"/>
    <mergeCell ref="A97:B97"/>
    <mergeCell ref="A98:A99"/>
    <mergeCell ref="B12:B13"/>
    <mergeCell ref="A12:A13"/>
    <mergeCell ref="A147:A151"/>
    <mergeCell ref="A183:B183"/>
    <mergeCell ref="A101:A102"/>
    <mergeCell ref="B101:B102"/>
    <mergeCell ref="F223:F230"/>
    <mergeCell ref="E223:E230"/>
    <mergeCell ref="A186:B186"/>
    <mergeCell ref="A189:B189"/>
    <mergeCell ref="A187:A188"/>
    <mergeCell ref="B187:B188"/>
    <mergeCell ref="A192:B192"/>
    <mergeCell ref="A190:A191"/>
    <mergeCell ref="B190:B191"/>
    <mergeCell ref="A184:A185"/>
    <mergeCell ref="B184:B185"/>
    <mergeCell ref="B153:B154"/>
    <mergeCell ref="A155:B155"/>
    <mergeCell ref="A156:A157"/>
    <mergeCell ref="A167:B167"/>
    <mergeCell ref="A165:A166"/>
    <mergeCell ref="B165:B166"/>
    <mergeCell ref="B168:B169"/>
    <mergeCell ref="A158:B158"/>
    <mergeCell ref="A181:A182"/>
    <mergeCell ref="B181:B182"/>
    <mergeCell ref="A173:B173"/>
    <mergeCell ref="B171:B172"/>
    <mergeCell ref="A193:A194"/>
    <mergeCell ref="B193:B194"/>
    <mergeCell ref="A198:B198"/>
    <mergeCell ref="A196:A197"/>
    <mergeCell ref="B196:B197"/>
    <mergeCell ref="A213:B213"/>
    <mergeCell ref="A211:A212"/>
    <mergeCell ref="B211:B212"/>
    <mergeCell ref="A214:A215"/>
    <mergeCell ref="B214:B215"/>
    <mergeCell ref="A207:B207"/>
    <mergeCell ref="A205:A206"/>
    <mergeCell ref="B205:B206"/>
    <mergeCell ref="A210:B210"/>
    <mergeCell ref="A208:A209"/>
    <mergeCell ref="B208:B209"/>
    <mergeCell ref="A201:B201"/>
    <mergeCell ref="B274:B275"/>
    <mergeCell ref="A204:B204"/>
    <mergeCell ref="A202:A203"/>
    <mergeCell ref="B202:B203"/>
    <mergeCell ref="A195:B195"/>
    <mergeCell ref="A232:O232"/>
    <mergeCell ref="A256:B256"/>
    <mergeCell ref="A252:A255"/>
    <mergeCell ref="B252:B255"/>
    <mergeCell ref="A248:B248"/>
    <mergeCell ref="A246:A247"/>
    <mergeCell ref="B246:B247"/>
    <mergeCell ref="A216:B216"/>
    <mergeCell ref="A221:B221"/>
    <mergeCell ref="A219:A220"/>
    <mergeCell ref="B219:B220"/>
    <mergeCell ref="A218:B218"/>
    <mergeCell ref="A265:B265"/>
    <mergeCell ref="A263:A264"/>
    <mergeCell ref="B263:B264"/>
    <mergeCell ref="F233:F236"/>
    <mergeCell ref="E233:E236"/>
    <mergeCell ref="H223:H230"/>
    <mergeCell ref="A239:B239"/>
    <mergeCell ref="A251:B251"/>
    <mergeCell ref="A249:A250"/>
    <mergeCell ref="B249:B250"/>
    <mergeCell ref="A241:B241"/>
    <mergeCell ref="A245:B245"/>
    <mergeCell ref="A243:A244"/>
    <mergeCell ref="B243:B244"/>
    <mergeCell ref="A231:B231"/>
    <mergeCell ref="A341:B341"/>
    <mergeCell ref="A346:B346"/>
    <mergeCell ref="A342:A345"/>
    <mergeCell ref="B342:B345"/>
    <mergeCell ref="A268:B268"/>
    <mergeCell ref="A266:A267"/>
    <mergeCell ref="B266:B267"/>
    <mergeCell ref="A259:B259"/>
    <mergeCell ref="A257:A258"/>
    <mergeCell ref="B257:B258"/>
    <mergeCell ref="A262:B262"/>
    <mergeCell ref="A260:A261"/>
    <mergeCell ref="B260:B261"/>
    <mergeCell ref="A277:A278"/>
    <mergeCell ref="B277:B278"/>
    <mergeCell ref="A271:B271"/>
    <mergeCell ref="A269:A270"/>
    <mergeCell ref="B269:B270"/>
    <mergeCell ref="A273:B273"/>
    <mergeCell ref="A288:B288"/>
    <mergeCell ref="A286:A287"/>
    <mergeCell ref="B286:B287"/>
    <mergeCell ref="A279:B279"/>
    <mergeCell ref="B327:B330"/>
    <mergeCell ref="A334:B334"/>
    <mergeCell ref="A332:A333"/>
    <mergeCell ref="A331:B331"/>
    <mergeCell ref="A327:A330"/>
    <mergeCell ref="B335:B337"/>
    <mergeCell ref="A335:A337"/>
    <mergeCell ref="A276:B276"/>
    <mergeCell ref="A274:A275"/>
    <mergeCell ref="E497:E498"/>
    <mergeCell ref="A612:O612"/>
    <mergeCell ref="E925:E929"/>
    <mergeCell ref="E948:E949"/>
    <mergeCell ref="E966:E968"/>
    <mergeCell ref="L508:L518"/>
    <mergeCell ref="I925:I929"/>
    <mergeCell ref="B392:B394"/>
    <mergeCell ref="A398:B398"/>
    <mergeCell ref="A630:A631"/>
    <mergeCell ref="A458:A459"/>
    <mergeCell ref="A436:B436"/>
    <mergeCell ref="A438:B438"/>
    <mergeCell ref="A441:B441"/>
    <mergeCell ref="A444:B444"/>
    <mergeCell ref="A421:B421"/>
    <mergeCell ref="A482:A483"/>
    <mergeCell ref="B428:B430"/>
    <mergeCell ref="B434:B435"/>
    <mergeCell ref="A434:A435"/>
    <mergeCell ref="E1266:E1268"/>
    <mergeCell ref="F966:F968"/>
    <mergeCell ref="F925:F929"/>
    <mergeCell ref="F948:F949"/>
    <mergeCell ref="A542:A547"/>
    <mergeCell ref="A548:B548"/>
    <mergeCell ref="A555:B555"/>
    <mergeCell ref="B549:B554"/>
    <mergeCell ref="A549:A554"/>
    <mergeCell ref="A506:B506"/>
    <mergeCell ref="A519:B519"/>
    <mergeCell ref="A527:B527"/>
    <mergeCell ref="B521:B526"/>
    <mergeCell ref="A521:A526"/>
    <mergeCell ref="A639:B639"/>
    <mergeCell ref="B636:B638"/>
    <mergeCell ref="A636:A638"/>
    <mergeCell ref="A621:B621"/>
    <mergeCell ref="B619:B620"/>
    <mergeCell ref="A619:A620"/>
    <mergeCell ref="A624:B624"/>
    <mergeCell ref="E975:E980"/>
    <mergeCell ref="A695:B695"/>
    <mergeCell ref="B693:B694"/>
    <mergeCell ref="A693:A694"/>
    <mergeCell ref="B643:B645"/>
    <mergeCell ref="A643:A645"/>
    <mergeCell ref="A649:B649"/>
    <mergeCell ref="B647:B648"/>
    <mergeCell ref="A647:A648"/>
    <mergeCell ref="A632:B632"/>
    <mergeCell ref="B630:B631"/>
    <mergeCell ref="E1500:E1503"/>
    <mergeCell ref="E1507:E1510"/>
    <mergeCell ref="F1005:F1011"/>
    <mergeCell ref="E1456:E1459"/>
    <mergeCell ref="F1456:F1459"/>
    <mergeCell ref="F1327:F1330"/>
    <mergeCell ref="F1489:F1491"/>
    <mergeCell ref="A1814:A1815"/>
    <mergeCell ref="A1819:B1819"/>
    <mergeCell ref="B1817:B1818"/>
    <mergeCell ref="A1817:A1818"/>
    <mergeCell ref="A1822:B1822"/>
    <mergeCell ref="B1820:B1821"/>
    <mergeCell ref="A1820:A1821"/>
    <mergeCell ref="A1806:B1806"/>
    <mergeCell ref="B1804:B1805"/>
    <mergeCell ref="A1804:A1805"/>
    <mergeCell ref="A1810:B1810"/>
    <mergeCell ref="B1807:B1809"/>
    <mergeCell ref="A1807:A1809"/>
    <mergeCell ref="A1813:B1813"/>
    <mergeCell ref="B1811:B1812"/>
    <mergeCell ref="F1507:F1510"/>
    <mergeCell ref="A1733:O1733"/>
    <mergeCell ref="A1720:B1720"/>
    <mergeCell ref="A1606:O1606"/>
    <mergeCell ref="A1580:B1580"/>
    <mergeCell ref="F1266:F1268"/>
    <mergeCell ref="E1005:E1011"/>
    <mergeCell ref="E1337:E1344"/>
    <mergeCell ref="F1337:F1344"/>
    <mergeCell ref="F1526:F1528"/>
    <mergeCell ref="A2034:B2034"/>
    <mergeCell ref="B2038:B2039"/>
    <mergeCell ref="A2040:B2040"/>
    <mergeCell ref="A1887:A1889"/>
    <mergeCell ref="B1887:B1889"/>
    <mergeCell ref="B1894:B1898"/>
    <mergeCell ref="A1894:A1898"/>
    <mergeCell ref="A1900:A1901"/>
    <mergeCell ref="B1900:B1901"/>
    <mergeCell ref="A1906:B1906"/>
    <mergeCell ref="A1867:B1867"/>
    <mergeCell ref="B1865:B1866"/>
    <mergeCell ref="A1865:A1866"/>
    <mergeCell ref="A1870:B1870"/>
    <mergeCell ref="A1873:B1873"/>
    <mergeCell ref="A1876:B1876"/>
    <mergeCell ref="A1879:B1879"/>
    <mergeCell ref="A1868:A1869"/>
    <mergeCell ref="B1868:B1869"/>
    <mergeCell ref="A1874:A1875"/>
    <mergeCell ref="B1874:B1875"/>
    <mergeCell ref="A1871:A1872"/>
    <mergeCell ref="B1871:B1872"/>
    <mergeCell ref="A1877:A1878"/>
    <mergeCell ref="B1877:B1878"/>
    <mergeCell ref="A1882:B1882"/>
    <mergeCell ref="A1886:B1886"/>
    <mergeCell ref="A1903:A1905"/>
    <mergeCell ref="B1903:B1905"/>
    <mergeCell ref="A1890:B1890"/>
    <mergeCell ref="A1893:B1893"/>
    <mergeCell ref="B1891:B1892"/>
    <mergeCell ref="B2048:B2050"/>
    <mergeCell ref="A2055:A2056"/>
    <mergeCell ref="B2055:B2056"/>
    <mergeCell ref="A2097:B2097"/>
    <mergeCell ref="A2086:A2087"/>
    <mergeCell ref="A2004:B2004"/>
    <mergeCell ref="A2007:B2007"/>
    <mergeCell ref="B2008:B2009"/>
    <mergeCell ref="A2011:A2017"/>
    <mergeCell ref="A1926:B1926"/>
    <mergeCell ref="B1924:B1925"/>
    <mergeCell ref="A1924:A1925"/>
    <mergeCell ref="A1929:B1929"/>
    <mergeCell ref="B1927:B1928"/>
    <mergeCell ref="A1927:A1928"/>
    <mergeCell ref="A1932:B1932"/>
    <mergeCell ref="B1930:B1931"/>
    <mergeCell ref="A1930:A1931"/>
    <mergeCell ref="A1935:B1935"/>
    <mergeCell ref="A2028:B2028"/>
    <mergeCell ref="A2032:B2032"/>
    <mergeCell ref="A2037:B2037"/>
    <mergeCell ref="A2022:A2023"/>
    <mergeCell ref="A2010:B2010"/>
    <mergeCell ref="A2018:B2018"/>
    <mergeCell ref="A2047:B2047"/>
    <mergeCell ref="A2063:B2063"/>
    <mergeCell ref="A2044:A2046"/>
    <mergeCell ref="B2044:B2046"/>
    <mergeCell ref="A2048:A2050"/>
    <mergeCell ref="A1964:A1966"/>
    <mergeCell ref="A2000:A2003"/>
    <mergeCell ref="A2255:A2257"/>
    <mergeCell ref="A4:B4"/>
    <mergeCell ref="B339:B340"/>
    <mergeCell ref="A339:A340"/>
    <mergeCell ref="A2282:B2282"/>
    <mergeCell ref="B2280:B2281"/>
    <mergeCell ref="A2280:A2281"/>
    <mergeCell ref="B1992:B1995"/>
    <mergeCell ref="A2025:A2027"/>
    <mergeCell ref="A1980:B1980"/>
    <mergeCell ref="A1983:B1983"/>
    <mergeCell ref="B1981:B1982"/>
    <mergeCell ref="A1981:A1982"/>
    <mergeCell ref="A2113:B2113"/>
    <mergeCell ref="B2111:B2112"/>
    <mergeCell ref="A2111:A2112"/>
    <mergeCell ref="A2094:B2094"/>
    <mergeCell ref="A2085:B2085"/>
    <mergeCell ref="B2083:B2084"/>
    <mergeCell ref="A2103:B2103"/>
    <mergeCell ref="A2216:A2217"/>
    <mergeCell ref="A2180:B2180"/>
    <mergeCell ref="A2186:B2186"/>
    <mergeCell ref="B2184:B2185"/>
    <mergeCell ref="A2183:B2183"/>
    <mergeCell ref="B2275:B2278"/>
    <mergeCell ref="A2066:B2066"/>
    <mergeCell ref="A2021:B2021"/>
    <mergeCell ref="A2024:B2024"/>
    <mergeCell ref="A2019:A2020"/>
    <mergeCell ref="A2263:A2264"/>
    <mergeCell ref="B2263:B2264"/>
    <mergeCell ref="A2266:A2270"/>
    <mergeCell ref="B2266:B2270"/>
    <mergeCell ref="B2302:C2302"/>
    <mergeCell ref="B2296:B2300"/>
    <mergeCell ref="A2189:B2189"/>
    <mergeCell ref="B2187:B2188"/>
    <mergeCell ref="A2296:A2300"/>
    <mergeCell ref="A2205:A2208"/>
    <mergeCell ref="B2205:B2208"/>
    <mergeCell ref="A2210:A2214"/>
    <mergeCell ref="B2210:B2214"/>
    <mergeCell ref="A2187:A2188"/>
    <mergeCell ref="A2192:B2192"/>
    <mergeCell ref="A2301:B2301"/>
    <mergeCell ref="A2292:B2292"/>
    <mergeCell ref="B2022:B2023"/>
    <mergeCell ref="A2114:A2115"/>
    <mergeCell ref="B2114:B2115"/>
    <mergeCell ref="B2117:B2119"/>
    <mergeCell ref="A2058:A2059"/>
    <mergeCell ref="A2286:B2286"/>
    <mergeCell ref="B2283:B2285"/>
    <mergeCell ref="A2283:A2285"/>
    <mergeCell ref="A2289:B2289"/>
    <mergeCell ref="A2251:B2251"/>
    <mergeCell ref="B2249:B2250"/>
    <mergeCell ref="A2249:A2250"/>
    <mergeCell ref="B2041:B2042"/>
    <mergeCell ref="A2145:B2145"/>
    <mergeCell ref="B2155:B2156"/>
    <mergeCell ref="A2110:B2110"/>
    <mergeCell ref="A2108:A2109"/>
    <mergeCell ref="A2043:B2043"/>
    <mergeCell ref="A2064:A2065"/>
    <mergeCell ref="B2064:B2065"/>
    <mergeCell ref="A2069:A2071"/>
    <mergeCell ref="B2069:B2071"/>
    <mergeCell ref="A2403:B2403"/>
    <mergeCell ref="A2295:B2295"/>
    <mergeCell ref="B2025:B2027"/>
    <mergeCell ref="A2029:A2031"/>
    <mergeCell ref="B2029:B2031"/>
    <mergeCell ref="B2035:B2036"/>
    <mergeCell ref="A2035:A2036"/>
    <mergeCell ref="A2254:B2254"/>
    <mergeCell ref="B2252:B2253"/>
    <mergeCell ref="A2252:A2253"/>
    <mergeCell ref="A2258:B2258"/>
    <mergeCell ref="A2120:B2120"/>
    <mergeCell ref="A2127:B2127"/>
    <mergeCell ref="A2130:B2130"/>
    <mergeCell ref="B2128:B2129"/>
    <mergeCell ref="A2128:A2129"/>
    <mergeCell ref="A2133:B2133"/>
    <mergeCell ref="B2131:B2132"/>
    <mergeCell ref="A2131:A2132"/>
    <mergeCell ref="A2136:B2136"/>
    <mergeCell ref="B2134:B2135"/>
    <mergeCell ref="A2134:A2135"/>
    <mergeCell ref="A2068:B2068"/>
    <mergeCell ref="A2072:B2072"/>
    <mergeCell ref="A2172:A2173"/>
    <mergeCell ref="A2177:B2177"/>
    <mergeCell ref="A2149:B2149"/>
    <mergeCell ref="B2146:B2148"/>
    <mergeCell ref="A2157:B2157"/>
    <mergeCell ref="A2174:B2174"/>
    <mergeCell ref="B2172:B2173"/>
    <mergeCell ref="B2058:B2059"/>
    <mergeCell ref="A2061:A2062"/>
    <mergeCell ref="B2061:B2062"/>
    <mergeCell ref="A2051:B2051"/>
    <mergeCell ref="A2054:B2054"/>
    <mergeCell ref="B2052:B2053"/>
    <mergeCell ref="A2083:A2084"/>
    <mergeCell ref="B2104:B2106"/>
    <mergeCell ref="A2139:B2139"/>
    <mergeCell ref="B2137:B2138"/>
    <mergeCell ref="A2158:A2159"/>
    <mergeCell ref="A2155:A2156"/>
    <mergeCell ref="A2107:B2107"/>
    <mergeCell ref="A2116:B2116"/>
    <mergeCell ref="B2098:B2102"/>
    <mergeCell ref="A2057:B2057"/>
    <mergeCell ref="A2275:A2278"/>
    <mergeCell ref="A2137:A2138"/>
    <mergeCell ref="A2142:B2142"/>
    <mergeCell ref="B2140:B2141"/>
    <mergeCell ref="B2073:B2075"/>
    <mergeCell ref="A2073:A2075"/>
    <mergeCell ref="A2080:A2081"/>
    <mergeCell ref="A2171:B2171"/>
    <mergeCell ref="A2146:A2148"/>
    <mergeCell ref="A2152:B2152"/>
    <mergeCell ref="B2108:B2109"/>
    <mergeCell ref="A2154:B2154"/>
    <mergeCell ref="A2184:A2185"/>
    <mergeCell ref="B2161:B2162"/>
    <mergeCell ref="A2076:B2076"/>
    <mergeCell ref="A2079:B2079"/>
    <mergeCell ref="B2077:B2078"/>
    <mergeCell ref="A2077:A2078"/>
    <mergeCell ref="A2160:B2160"/>
    <mergeCell ref="B2158:B2159"/>
    <mergeCell ref="A2175:A2176"/>
    <mergeCell ref="A2163:B2163"/>
    <mergeCell ref="A2088:B2088"/>
    <mergeCell ref="A2091:B2091"/>
    <mergeCell ref="B2080:B2081"/>
    <mergeCell ref="B2175:B2176"/>
    <mergeCell ref="A2231:B2231"/>
    <mergeCell ref="B2255:B2257"/>
    <mergeCell ref="A2246:A2247"/>
    <mergeCell ref="A2209:B2209"/>
    <mergeCell ref="A2271:B2271"/>
    <mergeCell ref="A2224:B2224"/>
    <mergeCell ref="B2019:B2020"/>
    <mergeCell ref="B2011:B2017"/>
    <mergeCell ref="A2052:A2053"/>
    <mergeCell ref="A2060:B2060"/>
    <mergeCell ref="A2161:A2162"/>
    <mergeCell ref="A2167:B2167"/>
    <mergeCell ref="A2117:A2119"/>
    <mergeCell ref="A2038:A2039"/>
    <mergeCell ref="A1971:A1972"/>
    <mergeCell ref="A1976:B1976"/>
    <mergeCell ref="B1974:B1975"/>
    <mergeCell ref="A1974:A1975"/>
    <mergeCell ref="H327:H329"/>
    <mergeCell ref="H1327:H1330"/>
    <mergeCell ref="H342:H344"/>
    <mergeCell ref="B445:B446"/>
    <mergeCell ref="E463:E464"/>
    <mergeCell ref="E490:E491"/>
    <mergeCell ref="A496:B496"/>
    <mergeCell ref="B353:B355"/>
    <mergeCell ref="A358:B358"/>
    <mergeCell ref="A349:B349"/>
    <mergeCell ref="A347:A348"/>
    <mergeCell ref="B347:B348"/>
    <mergeCell ref="A352:B352"/>
    <mergeCell ref="A350:A351"/>
    <mergeCell ref="B350:B351"/>
    <mergeCell ref="A392:A394"/>
    <mergeCell ref="A2082:B2082"/>
    <mergeCell ref="A2140:A2141"/>
    <mergeCell ref="A2104:A2106"/>
    <mergeCell ref="A2041:A2042"/>
    <mergeCell ref="H1507:H1510"/>
    <mergeCell ref="H1500:H1503"/>
    <mergeCell ref="B1997:B1998"/>
    <mergeCell ref="A1997:A1998"/>
    <mergeCell ref="A1967:B1967"/>
    <mergeCell ref="A1970:B1970"/>
    <mergeCell ref="B1968:B1969"/>
    <mergeCell ref="A1968:A1969"/>
    <mergeCell ref="B1971:B1972"/>
    <mergeCell ref="B1964:B1966"/>
    <mergeCell ref="A1991:B1991"/>
    <mergeCell ref="A1942:A1944"/>
    <mergeCell ref="B1946:B1948"/>
    <mergeCell ref="A1909:B1909"/>
    <mergeCell ref="B1907:B1908"/>
    <mergeCell ref="A1907:A1908"/>
    <mergeCell ref="A1913:B1913"/>
    <mergeCell ref="A1917:B1917"/>
    <mergeCell ref="B1933:B1934"/>
    <mergeCell ref="A1933:A1934"/>
    <mergeCell ref="A1939:B1939"/>
    <mergeCell ref="A1941:B1941"/>
    <mergeCell ref="A1945:B1945"/>
    <mergeCell ref="A1949:B1949"/>
    <mergeCell ref="A1953:B1953"/>
    <mergeCell ref="A1986:B1986"/>
    <mergeCell ref="B1984:B1985"/>
    <mergeCell ref="A1984:A1985"/>
    <mergeCell ref="A1977:A1979"/>
    <mergeCell ref="A1987:A1989"/>
    <mergeCell ref="A1996:B1996"/>
    <mergeCell ref="B1977:B1979"/>
    <mergeCell ref="B2000:B2003"/>
    <mergeCell ref="A2005:A2006"/>
    <mergeCell ref="B2005:B2006"/>
    <mergeCell ref="A2008:A2009"/>
    <mergeCell ref="B1987:B1989"/>
    <mergeCell ref="A1973:B1973"/>
    <mergeCell ref="A1992:A1995"/>
    <mergeCell ref="B1167:C1167"/>
    <mergeCell ref="A1999:B1999"/>
    <mergeCell ref="A1891:A1892"/>
    <mergeCell ref="A1899:B1899"/>
    <mergeCell ref="A1902:B1902"/>
    <mergeCell ref="A1853:B1853"/>
    <mergeCell ref="B1851:B1852"/>
    <mergeCell ref="A1851:A1852"/>
    <mergeCell ref="A1856:B1856"/>
    <mergeCell ref="B1854:B1855"/>
    <mergeCell ref="A1854:A1855"/>
    <mergeCell ref="A1860:B1860"/>
    <mergeCell ref="B1857:B1859"/>
    <mergeCell ref="B1936:B1938"/>
    <mergeCell ref="B1880:B1881"/>
    <mergeCell ref="A1883:A1885"/>
    <mergeCell ref="B1883:B1885"/>
    <mergeCell ref="A1838:B1838"/>
    <mergeCell ref="A1841:B1841"/>
    <mergeCell ref="B1839:B1840"/>
    <mergeCell ref="A1839:A1840"/>
    <mergeCell ref="A1829:A1830"/>
    <mergeCell ref="B1829:B1830"/>
    <mergeCell ref="B1832:B1834"/>
    <mergeCell ref="A1832:A1834"/>
    <mergeCell ref="A1960:B1960"/>
    <mergeCell ref="B1958:B1959"/>
    <mergeCell ref="A1958:A1959"/>
    <mergeCell ref="A1963:B1963"/>
    <mergeCell ref="B1961:B1962"/>
    <mergeCell ref="A1961:A1962"/>
    <mergeCell ref="B1910:B1912"/>
    <mergeCell ref="A1910:A1912"/>
    <mergeCell ref="B622:B623"/>
    <mergeCell ref="B667:B668"/>
    <mergeCell ref="A1003:B1003"/>
    <mergeCell ref="A622:A623"/>
    <mergeCell ref="A629:B629"/>
    <mergeCell ref="B625:B628"/>
    <mergeCell ref="A625:A628"/>
    <mergeCell ref="A650:A651"/>
    <mergeCell ref="B655:B656"/>
    <mergeCell ref="A682:B682"/>
    <mergeCell ref="A1857:A1859"/>
    <mergeCell ref="A1848:A1849"/>
    <mergeCell ref="B1848:B1849"/>
    <mergeCell ref="A1864:B1864"/>
    <mergeCell ref="B1861:B1863"/>
    <mergeCell ref="A1861:A1863"/>
    <mergeCell ref="A1880:A1881"/>
    <mergeCell ref="A685:B685"/>
    <mergeCell ref="A1957:B1957"/>
    <mergeCell ref="A1936:A1938"/>
    <mergeCell ref="A1914:A1916"/>
    <mergeCell ref="B1914:B1916"/>
    <mergeCell ref="A1920:B1920"/>
    <mergeCell ref="B1918:B1919"/>
    <mergeCell ref="A463:A467"/>
    <mergeCell ref="A474:B474"/>
    <mergeCell ref="B494:B495"/>
    <mergeCell ref="A494:A495"/>
    <mergeCell ref="A433:B433"/>
    <mergeCell ref="A431:B431"/>
    <mergeCell ref="A428:A430"/>
    <mergeCell ref="A663:B663"/>
    <mergeCell ref="A462:B462"/>
    <mergeCell ref="A468:B468"/>
    <mergeCell ref="B463:B467"/>
    <mergeCell ref="A447:B447"/>
    <mergeCell ref="B1942:B1944"/>
    <mergeCell ref="A1946:A1948"/>
    <mergeCell ref="B1950:B1952"/>
    <mergeCell ref="A1950:A1952"/>
    <mergeCell ref="A1954:A1956"/>
    <mergeCell ref="B1954:B1956"/>
    <mergeCell ref="A1918:A1919"/>
    <mergeCell ref="A1923:B1923"/>
    <mergeCell ref="B1921:B1922"/>
    <mergeCell ref="A1921:A1922"/>
    <mergeCell ref="A655:A656"/>
    <mergeCell ref="A1836:A1837"/>
    <mergeCell ref="B1836:B1837"/>
    <mergeCell ref="A1844:B1844"/>
    <mergeCell ref="B1842:B1843"/>
    <mergeCell ref="A1842:A1843"/>
    <mergeCell ref="A1847:B1847"/>
    <mergeCell ref="B1845:B1846"/>
    <mergeCell ref="A1845:A1846"/>
    <mergeCell ref="A1850:B1850"/>
    <mergeCell ref="B664:B665"/>
    <mergeCell ref="A664:A665"/>
    <mergeCell ref="A669:B669"/>
    <mergeCell ref="A442:A443"/>
    <mergeCell ref="B442:B443"/>
    <mergeCell ref="B439:B440"/>
    <mergeCell ref="A439:A440"/>
    <mergeCell ref="A477:B477"/>
    <mergeCell ref="A657:B657"/>
    <mergeCell ref="A660:B660"/>
    <mergeCell ref="B658:B659"/>
    <mergeCell ref="A658:A659"/>
    <mergeCell ref="A583:A584"/>
    <mergeCell ref="A588:B588"/>
    <mergeCell ref="B586:B587"/>
    <mergeCell ref="A586:A587"/>
    <mergeCell ref="A562:B562"/>
    <mergeCell ref="B556:B561"/>
    <mergeCell ref="A556:A561"/>
    <mergeCell ref="A566:B566"/>
    <mergeCell ref="B563:B565"/>
    <mergeCell ref="A563:A565"/>
    <mergeCell ref="A570:B570"/>
    <mergeCell ref="B567:B569"/>
    <mergeCell ref="A567:A569"/>
    <mergeCell ref="A582:O582"/>
    <mergeCell ref="A574:B574"/>
    <mergeCell ref="A457:B457"/>
    <mergeCell ref="A460:B460"/>
    <mergeCell ref="B458:B459"/>
    <mergeCell ref="B542:B547"/>
    <mergeCell ref="B482:B483"/>
    <mergeCell ref="A680:B680"/>
    <mergeCell ref="F86:F89"/>
    <mergeCell ref="E80:E83"/>
    <mergeCell ref="A677:B677"/>
    <mergeCell ref="A427:B427"/>
    <mergeCell ref="A602:B602"/>
    <mergeCell ref="A363:A366"/>
    <mergeCell ref="B363:B366"/>
    <mergeCell ref="A382:B382"/>
    <mergeCell ref="A379:A381"/>
    <mergeCell ref="B379:B381"/>
    <mergeCell ref="A396:A397"/>
    <mergeCell ref="B416:B417"/>
    <mergeCell ref="B402:B406"/>
    <mergeCell ref="B383:B384"/>
    <mergeCell ref="A375:B375"/>
    <mergeCell ref="A373:A374"/>
    <mergeCell ref="B373:B374"/>
    <mergeCell ref="A378:B378"/>
    <mergeCell ref="A635:B635"/>
    <mergeCell ref="A652:B652"/>
    <mergeCell ref="B650:B651"/>
    <mergeCell ref="A416:A417"/>
    <mergeCell ref="A642:B642"/>
    <mergeCell ref="B640:B641"/>
    <mergeCell ref="A640:A641"/>
    <mergeCell ref="A646:B646"/>
    <mergeCell ref="A654:B654"/>
    <mergeCell ref="A667:A668"/>
    <mergeCell ref="B475:B476"/>
    <mergeCell ref="A475:A476"/>
    <mergeCell ref="A338:B338"/>
    <mergeCell ref="A5:O5"/>
    <mergeCell ref="A146:O146"/>
    <mergeCell ref="E1327:E1330"/>
    <mergeCell ref="E1489:E1491"/>
    <mergeCell ref="E92:E95"/>
    <mergeCell ref="A407:B407"/>
    <mergeCell ref="A402:A406"/>
    <mergeCell ref="A370:B370"/>
    <mergeCell ref="A368:A369"/>
    <mergeCell ref="B368:B369"/>
    <mergeCell ref="A372:B372"/>
    <mergeCell ref="A362:B362"/>
    <mergeCell ref="A359:A361"/>
    <mergeCell ref="B359:B361"/>
    <mergeCell ref="A367:B367"/>
    <mergeCell ref="A1001:B1001"/>
    <mergeCell ref="E6:E9"/>
    <mergeCell ref="B413:B414"/>
    <mergeCell ref="F6:F9"/>
    <mergeCell ref="F92:F95"/>
    <mergeCell ref="A451:B451"/>
    <mergeCell ref="A376:A377"/>
    <mergeCell ref="A291:B291"/>
    <mergeCell ref="A289:A290"/>
    <mergeCell ref="B289:B290"/>
    <mergeCell ref="A282:B282"/>
    <mergeCell ref="A280:A281"/>
    <mergeCell ref="B280:B281"/>
    <mergeCell ref="A285:B285"/>
    <mergeCell ref="A283:A284"/>
    <mergeCell ref="B389:B390"/>
    <mergeCell ref="B376:B377"/>
    <mergeCell ref="Q1526:Q1528"/>
    <mergeCell ref="Q1577:Q1578"/>
    <mergeCell ref="F428:F429"/>
    <mergeCell ref="F463:F464"/>
    <mergeCell ref="F490:F491"/>
    <mergeCell ref="F497:F498"/>
    <mergeCell ref="A326:O326"/>
    <mergeCell ref="A242:O242"/>
    <mergeCell ref="A520:O520"/>
    <mergeCell ref="A678:O678"/>
    <mergeCell ref="F1533:F1535"/>
    <mergeCell ref="B696:C696"/>
    <mergeCell ref="A419:A420"/>
    <mergeCell ref="B419:B420"/>
    <mergeCell ref="A424:B424"/>
    <mergeCell ref="A422:A423"/>
    <mergeCell ref="B422:B423"/>
    <mergeCell ref="A415:B415"/>
    <mergeCell ref="A413:A414"/>
    <mergeCell ref="A395:B395"/>
    <mergeCell ref="H1266:H1268"/>
    <mergeCell ref="H428:H429"/>
    <mergeCell ref="H359:H360"/>
    <mergeCell ref="H927:H928"/>
    <mergeCell ref="E1289:E1291"/>
    <mergeCell ref="F1289:F1291"/>
    <mergeCell ref="A418:B418"/>
    <mergeCell ref="L1526:L1528"/>
    <mergeCell ref="L956:L958"/>
    <mergeCell ref="H948:H949"/>
    <mergeCell ref="A391:B391"/>
    <mergeCell ref="B399:B400"/>
    <mergeCell ref="F975:F980"/>
    <mergeCell ref="F359:F360"/>
    <mergeCell ref="A412:B412"/>
    <mergeCell ref="A410:A411"/>
    <mergeCell ref="B410:B411"/>
    <mergeCell ref="A401:B401"/>
    <mergeCell ref="A399:A400"/>
    <mergeCell ref="E147:E150"/>
    <mergeCell ref="E174:E175"/>
    <mergeCell ref="E428:E429"/>
    <mergeCell ref="F174:F175"/>
    <mergeCell ref="A297:B297"/>
    <mergeCell ref="A295:A296"/>
    <mergeCell ref="B295:B296"/>
    <mergeCell ref="A300:B300"/>
    <mergeCell ref="A298:A299"/>
    <mergeCell ref="B298:B299"/>
    <mergeCell ref="A294:B294"/>
    <mergeCell ref="B283:B284"/>
    <mergeCell ref="E327:E329"/>
    <mergeCell ref="E335:E336"/>
    <mergeCell ref="E317:E324"/>
    <mergeCell ref="A292:A293"/>
    <mergeCell ref="F147:F150"/>
    <mergeCell ref="E342:E344"/>
    <mergeCell ref="E359:E360"/>
    <mergeCell ref="A389:A390"/>
    <mergeCell ref="A469:A473"/>
    <mergeCell ref="B469:B473"/>
    <mergeCell ref="A445:A446"/>
    <mergeCell ref="B633:B634"/>
    <mergeCell ref="A633:A634"/>
    <mergeCell ref="F80:F83"/>
    <mergeCell ref="E86:E89"/>
    <mergeCell ref="E53:E55"/>
    <mergeCell ref="E60:E63"/>
    <mergeCell ref="F53:F55"/>
    <mergeCell ref="F60:F63"/>
    <mergeCell ref="F327:F329"/>
    <mergeCell ref="F335:F336"/>
    <mergeCell ref="F342:F344"/>
    <mergeCell ref="B396:B397"/>
    <mergeCell ref="A388:B388"/>
    <mergeCell ref="A386:A387"/>
    <mergeCell ref="B386:B387"/>
    <mergeCell ref="F902:F913"/>
    <mergeCell ref="E697:E700"/>
    <mergeCell ref="F697:F700"/>
    <mergeCell ref="B292:B293"/>
    <mergeCell ref="A315:B315"/>
    <mergeCell ref="A309:A314"/>
    <mergeCell ref="B309:B314"/>
    <mergeCell ref="A325:B325"/>
    <mergeCell ref="A302:B302"/>
    <mergeCell ref="A308:B308"/>
    <mergeCell ref="A303:A307"/>
    <mergeCell ref="B303:B307"/>
    <mergeCell ref="B332:B333"/>
    <mergeCell ref="F317:F324"/>
    <mergeCell ref="A409:B409"/>
    <mergeCell ref="A356:B356"/>
    <mergeCell ref="A353:A355"/>
    <mergeCell ref="A425:A426"/>
    <mergeCell ref="B425:B426"/>
    <mergeCell ref="L92:L95"/>
    <mergeCell ref="L122:L125"/>
    <mergeCell ref="L128:L131"/>
    <mergeCell ref="I92:I95"/>
    <mergeCell ref="I122:I125"/>
    <mergeCell ref="I128:I131"/>
    <mergeCell ref="H902:H913"/>
    <mergeCell ref="I902:I913"/>
    <mergeCell ref="I1005:I1011"/>
    <mergeCell ref="I80:I83"/>
    <mergeCell ref="I86:I89"/>
    <mergeCell ref="I1266:I1268"/>
    <mergeCell ref="E15:E17"/>
    <mergeCell ref="F15:F17"/>
    <mergeCell ref="E20:E23"/>
    <mergeCell ref="F20:F23"/>
    <mergeCell ref="E104:E107"/>
    <mergeCell ref="F104:F107"/>
    <mergeCell ref="E116:E119"/>
    <mergeCell ref="F116:F119"/>
    <mergeCell ref="E110:E113"/>
    <mergeCell ref="F110:F113"/>
    <mergeCell ref="E122:E125"/>
    <mergeCell ref="F122:F125"/>
    <mergeCell ref="E128:E131"/>
    <mergeCell ref="F128:F131"/>
    <mergeCell ref="E508:E518"/>
    <mergeCell ref="F508:F518"/>
    <mergeCell ref="E606:E610"/>
    <mergeCell ref="F606:F610"/>
    <mergeCell ref="E135:E144"/>
    <mergeCell ref="F135:F144"/>
  </mergeCells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2"/>
  <rowBreaks count="3" manualBreakCount="3">
    <brk id="1852" max="12" man="1"/>
    <brk id="1882" max="12" man="1"/>
    <brk id="189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="55" zoomScaleNormal="55" workbookViewId="0">
      <selection activeCell="F11" sqref="F11"/>
    </sheetView>
  </sheetViews>
  <sheetFormatPr defaultRowHeight="15" x14ac:dyDescent="0.25"/>
  <cols>
    <col min="1" max="1" width="11.85546875" customWidth="1"/>
    <col min="2" max="2" width="29.5703125" customWidth="1"/>
    <col min="3" max="3" width="23" customWidth="1"/>
    <col min="4" max="4" width="22.85546875" customWidth="1"/>
    <col min="5" max="5" width="27" customWidth="1"/>
    <col min="6" max="6" width="30.140625" customWidth="1"/>
    <col min="7" max="7" width="23" customWidth="1"/>
    <col min="8" max="8" width="21.140625" customWidth="1"/>
    <col min="9" max="9" width="21.5703125" customWidth="1"/>
    <col min="10" max="10" width="21.85546875" customWidth="1"/>
    <col min="11" max="13" width="20.7109375" customWidth="1"/>
    <col min="14" max="14" width="24" customWidth="1"/>
  </cols>
  <sheetData>
    <row r="1" spans="1:14" ht="29.25" thickBot="1" x14ac:dyDescent="0.3">
      <c r="A1" s="80" t="s">
        <v>945</v>
      </c>
      <c r="B1" s="1191" t="s">
        <v>1470</v>
      </c>
      <c r="C1" s="1191"/>
      <c r="D1" s="1191"/>
      <c r="E1" s="1191"/>
      <c r="F1" s="1191"/>
      <c r="G1" s="1191"/>
      <c r="H1" s="1191"/>
      <c r="I1" s="1191"/>
      <c r="J1" s="1191"/>
      <c r="K1" s="1191"/>
      <c r="L1" s="98"/>
      <c r="M1" s="91"/>
      <c r="N1" s="91"/>
    </row>
    <row r="2" spans="1:14" ht="86.25" thickBot="1" x14ac:dyDescent="0.3">
      <c r="A2" s="33" t="s">
        <v>0</v>
      </c>
      <c r="B2" s="34" t="s">
        <v>1</v>
      </c>
      <c r="C2" s="34" t="s">
        <v>650</v>
      </c>
      <c r="D2" s="35" t="s">
        <v>931</v>
      </c>
      <c r="E2" s="34" t="s">
        <v>652</v>
      </c>
      <c r="F2" s="34" t="s">
        <v>932</v>
      </c>
      <c r="G2" s="61" t="s">
        <v>933</v>
      </c>
      <c r="H2" s="34" t="s">
        <v>653</v>
      </c>
      <c r="I2" s="45" t="s">
        <v>654</v>
      </c>
      <c r="J2" s="35" t="s">
        <v>834</v>
      </c>
      <c r="K2" s="35" t="s">
        <v>831</v>
      </c>
      <c r="L2" s="99" t="s">
        <v>934</v>
      </c>
      <c r="M2" s="35" t="s">
        <v>935</v>
      </c>
      <c r="N2" s="123" t="s">
        <v>936</v>
      </c>
    </row>
    <row r="3" spans="1:14" ht="19.5" customHeight="1" thickBot="1" x14ac:dyDescent="0.3">
      <c r="A3" s="1192" t="s">
        <v>635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4"/>
    </row>
    <row r="4" spans="1:14" x14ac:dyDescent="0.25">
      <c r="A4" s="1177">
        <v>1</v>
      </c>
      <c r="B4" s="1179" t="s">
        <v>146</v>
      </c>
      <c r="C4" s="39" t="s">
        <v>38</v>
      </c>
      <c r="D4" s="40">
        <v>900000</v>
      </c>
      <c r="E4" s="116"/>
      <c r="F4" s="116"/>
      <c r="G4" s="57"/>
      <c r="H4" s="116"/>
      <c r="I4" s="46"/>
      <c r="J4" s="114"/>
      <c r="K4" s="114"/>
      <c r="L4" s="44"/>
      <c r="M4" s="114"/>
      <c r="N4" s="124">
        <v>0</v>
      </c>
    </row>
    <row r="5" spans="1:14" ht="30" x14ac:dyDescent="0.25">
      <c r="A5" s="1178"/>
      <c r="B5" s="1180"/>
      <c r="C5" s="3" t="s">
        <v>35</v>
      </c>
      <c r="D5" s="7">
        <v>405756.7</v>
      </c>
      <c r="E5" s="110" t="s">
        <v>1027</v>
      </c>
      <c r="F5" s="120" t="s">
        <v>1026</v>
      </c>
      <c r="G5" s="58">
        <v>405756.7</v>
      </c>
      <c r="H5" s="115">
        <v>42612</v>
      </c>
      <c r="I5" s="47"/>
      <c r="J5" s="110"/>
      <c r="K5" s="110"/>
      <c r="L5" s="115"/>
      <c r="M5" s="110"/>
      <c r="N5" s="71">
        <v>1</v>
      </c>
    </row>
    <row r="6" spans="1:14" ht="30" x14ac:dyDescent="0.25">
      <c r="A6" s="1178"/>
      <c r="B6" s="1180"/>
      <c r="C6" s="3" t="s">
        <v>36</v>
      </c>
      <c r="D6" s="7">
        <v>288025.84000000003</v>
      </c>
      <c r="E6" s="110" t="s">
        <v>1027</v>
      </c>
      <c r="F6" s="120" t="s">
        <v>1026</v>
      </c>
      <c r="G6" s="58">
        <v>288025.84000000003</v>
      </c>
      <c r="H6" s="115">
        <v>42612</v>
      </c>
      <c r="I6" s="47"/>
      <c r="J6" s="110"/>
      <c r="K6" s="110"/>
      <c r="L6" s="115"/>
      <c r="M6" s="110"/>
      <c r="N6" s="71">
        <v>1</v>
      </c>
    </row>
    <row r="7" spans="1:14" ht="30" x14ac:dyDescent="0.25">
      <c r="A7" s="1178"/>
      <c r="B7" s="1180"/>
      <c r="C7" s="3" t="s">
        <v>500</v>
      </c>
      <c r="D7" s="7">
        <v>2146362.39</v>
      </c>
      <c r="E7" s="110" t="s">
        <v>1027</v>
      </c>
      <c r="F7" s="120" t="s">
        <v>1026</v>
      </c>
      <c r="G7" s="58">
        <v>2146362.39</v>
      </c>
      <c r="H7" s="115">
        <v>42673</v>
      </c>
      <c r="I7" s="47"/>
      <c r="J7" s="110"/>
      <c r="K7" s="110"/>
      <c r="L7" s="115"/>
      <c r="M7" s="110"/>
      <c r="N7" s="84">
        <v>0.2</v>
      </c>
    </row>
    <row r="8" spans="1:14" ht="30" x14ac:dyDescent="0.25">
      <c r="A8" s="1178"/>
      <c r="B8" s="1180"/>
      <c r="C8" s="3" t="s">
        <v>501</v>
      </c>
      <c r="D8" s="7">
        <v>6920000</v>
      </c>
      <c r="E8" s="110" t="s">
        <v>1284</v>
      </c>
      <c r="F8" s="120" t="s">
        <v>661</v>
      </c>
      <c r="G8" s="58">
        <v>5587196.1600000001</v>
      </c>
      <c r="H8" s="115">
        <v>42696</v>
      </c>
      <c r="I8" s="47"/>
      <c r="J8" s="110"/>
      <c r="K8" s="110"/>
      <c r="L8" s="115"/>
      <c r="M8" s="110"/>
      <c r="N8" s="65">
        <v>0</v>
      </c>
    </row>
    <row r="9" spans="1:14" x14ac:dyDescent="0.25">
      <c r="A9" s="1178"/>
      <c r="B9" s="1180"/>
      <c r="C9" s="3" t="s">
        <v>1095</v>
      </c>
      <c r="D9" s="7">
        <v>60780</v>
      </c>
      <c r="E9" s="110"/>
      <c r="F9" s="120"/>
      <c r="G9" s="58"/>
      <c r="H9" s="115"/>
      <c r="I9" s="47"/>
      <c r="J9" s="110"/>
      <c r="K9" s="110"/>
      <c r="L9" s="115"/>
      <c r="M9" s="110"/>
      <c r="N9" s="65"/>
    </row>
    <row r="10" spans="1:14" ht="45" x14ac:dyDescent="0.25">
      <c r="A10" s="1178"/>
      <c r="B10" s="1180"/>
      <c r="C10" s="26" t="s">
        <v>37</v>
      </c>
      <c r="D10" s="27">
        <v>170376.12</v>
      </c>
      <c r="E10" s="17" t="s">
        <v>550</v>
      </c>
      <c r="F10" s="15" t="s">
        <v>541</v>
      </c>
      <c r="G10" s="59">
        <v>201679.44</v>
      </c>
      <c r="H10" s="16">
        <v>42460</v>
      </c>
      <c r="I10" s="16">
        <v>42475</v>
      </c>
      <c r="J10" s="17">
        <v>170376.12</v>
      </c>
      <c r="K10" s="17">
        <v>170376.12</v>
      </c>
      <c r="L10" s="16"/>
      <c r="M10" s="17"/>
      <c r="N10" s="77"/>
    </row>
    <row r="11" spans="1:14" ht="15.75" thickBot="1" x14ac:dyDescent="0.3">
      <c r="A11" s="1181" t="s">
        <v>628</v>
      </c>
      <c r="B11" s="1182"/>
      <c r="C11" s="41"/>
      <c r="D11" s="42">
        <f>SUM(D4:D10)</f>
        <v>10891301.049999999</v>
      </c>
      <c r="E11" s="36"/>
      <c r="F11" s="36"/>
      <c r="G11" s="60">
        <f>SUM(G4:G10)</f>
        <v>8629020.5299999993</v>
      </c>
      <c r="H11" s="36"/>
      <c r="I11" s="49"/>
      <c r="J11" s="32">
        <f>SUM(J4:J10)</f>
        <v>170376.12</v>
      </c>
      <c r="K11" s="42">
        <f>SUM(K4:K10)</f>
        <v>170376.12</v>
      </c>
      <c r="L11" s="101"/>
      <c r="M11" s="42"/>
      <c r="N11" s="74">
        <f>AVERAGE(N4:N10)</f>
        <v>0.44000000000000006</v>
      </c>
    </row>
    <row r="12" spans="1:14" x14ac:dyDescent="0.25">
      <c r="A12" s="1177">
        <v>2</v>
      </c>
      <c r="B12" s="1179" t="s">
        <v>147</v>
      </c>
      <c r="C12" s="39" t="s">
        <v>38</v>
      </c>
      <c r="D12" s="40">
        <v>700000</v>
      </c>
      <c r="E12" s="119"/>
      <c r="F12" s="116"/>
      <c r="G12" s="57"/>
      <c r="H12" s="116"/>
      <c r="I12" s="46"/>
      <c r="J12" s="114"/>
      <c r="K12" s="114"/>
      <c r="L12" s="44"/>
      <c r="M12" s="114"/>
      <c r="N12" s="124">
        <v>0</v>
      </c>
    </row>
    <row r="13" spans="1:14" ht="30" x14ac:dyDescent="0.25">
      <c r="A13" s="1178"/>
      <c r="B13" s="1180"/>
      <c r="C13" s="3" t="s">
        <v>35</v>
      </c>
      <c r="D13" s="7">
        <v>315890.28999999998</v>
      </c>
      <c r="E13" s="110" t="s">
        <v>1027</v>
      </c>
      <c r="F13" s="120" t="s">
        <v>1026</v>
      </c>
      <c r="G13" s="58">
        <v>315890.28999999998</v>
      </c>
      <c r="H13" s="115">
        <v>42612</v>
      </c>
      <c r="I13" s="47"/>
      <c r="J13" s="110"/>
      <c r="K13" s="110"/>
      <c r="L13" s="115"/>
      <c r="M13" s="110"/>
      <c r="N13" s="71">
        <v>1</v>
      </c>
    </row>
    <row r="14" spans="1:14" ht="30" x14ac:dyDescent="0.25">
      <c r="A14" s="1178"/>
      <c r="B14" s="1180"/>
      <c r="C14" s="3" t="s">
        <v>36</v>
      </c>
      <c r="D14" s="7">
        <v>261624.71</v>
      </c>
      <c r="E14" s="110" t="s">
        <v>1027</v>
      </c>
      <c r="F14" s="120" t="s">
        <v>1026</v>
      </c>
      <c r="G14" s="58">
        <v>261624.71</v>
      </c>
      <c r="H14" s="115">
        <v>42612</v>
      </c>
      <c r="I14" s="47"/>
      <c r="J14" s="110"/>
      <c r="K14" s="110"/>
      <c r="L14" s="115"/>
      <c r="M14" s="110"/>
      <c r="N14" s="71">
        <v>1</v>
      </c>
    </row>
    <row r="15" spans="1:14" ht="30" x14ac:dyDescent="0.25">
      <c r="A15" s="1178"/>
      <c r="B15" s="1180"/>
      <c r="C15" s="3" t="s">
        <v>500</v>
      </c>
      <c r="D15" s="7">
        <v>1587277.48</v>
      </c>
      <c r="E15" s="110" t="s">
        <v>1027</v>
      </c>
      <c r="F15" s="120" t="s">
        <v>1026</v>
      </c>
      <c r="G15" s="58">
        <v>1587277.48</v>
      </c>
      <c r="H15" s="115">
        <v>42673</v>
      </c>
      <c r="I15" s="47"/>
      <c r="J15" s="110"/>
      <c r="K15" s="110"/>
      <c r="L15" s="115"/>
      <c r="M15" s="110"/>
      <c r="N15" s="84">
        <v>0.9</v>
      </c>
    </row>
    <row r="16" spans="1:14" ht="30" x14ac:dyDescent="0.25">
      <c r="A16" s="1178"/>
      <c r="B16" s="1180"/>
      <c r="C16" s="3" t="s">
        <v>501</v>
      </c>
      <c r="D16" s="7">
        <v>6640000</v>
      </c>
      <c r="E16" s="110" t="s">
        <v>1284</v>
      </c>
      <c r="F16" s="120" t="s">
        <v>661</v>
      </c>
      <c r="G16" s="58">
        <v>5443614.9400000004</v>
      </c>
      <c r="H16" s="115">
        <v>42696</v>
      </c>
      <c r="I16" s="47"/>
      <c r="J16" s="110"/>
      <c r="K16" s="110"/>
      <c r="L16" s="115"/>
      <c r="M16" s="110"/>
      <c r="N16" s="65">
        <v>0</v>
      </c>
    </row>
    <row r="17" spans="1:14" x14ac:dyDescent="0.25">
      <c r="A17" s="1178"/>
      <c r="B17" s="1180"/>
      <c r="C17" s="3" t="s">
        <v>1095</v>
      </c>
      <c r="D17" s="7">
        <v>46330</v>
      </c>
      <c r="E17" s="110"/>
      <c r="F17" s="120"/>
      <c r="G17" s="58"/>
      <c r="H17" s="115"/>
      <c r="I17" s="47"/>
      <c r="J17" s="110"/>
      <c r="K17" s="110"/>
      <c r="L17" s="115"/>
      <c r="M17" s="110"/>
      <c r="N17" s="65"/>
    </row>
    <row r="18" spans="1:14" ht="45" x14ac:dyDescent="0.25">
      <c r="A18" s="1178"/>
      <c r="B18" s="1180"/>
      <c r="C18" s="26" t="s">
        <v>37</v>
      </c>
      <c r="D18" s="27">
        <v>161211.22</v>
      </c>
      <c r="E18" s="17" t="s">
        <v>550</v>
      </c>
      <c r="F18" s="15" t="s">
        <v>541</v>
      </c>
      <c r="G18" s="59">
        <v>190814.27</v>
      </c>
      <c r="H18" s="16">
        <v>42460</v>
      </c>
      <c r="I18" s="16">
        <v>42475</v>
      </c>
      <c r="J18" s="17">
        <v>161211.21999999997</v>
      </c>
      <c r="K18" s="17">
        <v>161211.21999999997</v>
      </c>
      <c r="L18" s="16"/>
      <c r="M18" s="17"/>
      <c r="N18" s="77"/>
    </row>
    <row r="19" spans="1:14" ht="15.75" thickBot="1" x14ac:dyDescent="0.3">
      <c r="A19" s="1189" t="s">
        <v>628</v>
      </c>
      <c r="B19" s="1190"/>
      <c r="C19" s="38"/>
      <c r="D19" s="42">
        <f>SUM(D12:D18)</f>
        <v>9712333.7000000011</v>
      </c>
      <c r="E19" s="122"/>
      <c r="F19" s="122"/>
      <c r="G19" s="60">
        <f>SUM(G12:G18)</f>
        <v>7799221.6899999995</v>
      </c>
      <c r="H19" s="122"/>
      <c r="I19" s="48"/>
      <c r="J19" s="55">
        <f>SUM(J12:J18)</f>
        <v>161211.21999999997</v>
      </c>
      <c r="K19" s="42">
        <f>SUM(K12:K18)</f>
        <v>161211.21999999997</v>
      </c>
      <c r="L19" s="102"/>
      <c r="M19" s="23"/>
      <c r="N19" s="74">
        <f>AVERAGE(N12:N18)</f>
        <v>0.57999999999999996</v>
      </c>
    </row>
    <row r="20" spans="1:14" x14ac:dyDescent="0.25">
      <c r="A20" s="1177">
        <v>3</v>
      </c>
      <c r="B20" s="1179" t="s">
        <v>148</v>
      </c>
      <c r="C20" s="39" t="s">
        <v>38</v>
      </c>
      <c r="D20" s="40">
        <v>900000</v>
      </c>
      <c r="E20" s="116"/>
      <c r="F20" s="116"/>
      <c r="G20" s="57"/>
      <c r="H20" s="116"/>
      <c r="I20" s="46"/>
      <c r="J20" s="114"/>
      <c r="K20" s="114"/>
      <c r="L20" s="44"/>
      <c r="M20" s="114"/>
      <c r="N20" s="124">
        <v>0</v>
      </c>
    </row>
    <row r="21" spans="1:14" ht="30" x14ac:dyDescent="0.25">
      <c r="A21" s="1178"/>
      <c r="B21" s="1180"/>
      <c r="C21" s="3" t="s">
        <v>35</v>
      </c>
      <c r="D21" s="7">
        <v>405756.72</v>
      </c>
      <c r="E21" s="110" t="s">
        <v>1027</v>
      </c>
      <c r="F21" s="120" t="s">
        <v>1026</v>
      </c>
      <c r="G21" s="58">
        <v>405756.72</v>
      </c>
      <c r="H21" s="115">
        <v>42612</v>
      </c>
      <c r="I21" s="47"/>
      <c r="J21" s="110"/>
      <c r="K21" s="110"/>
      <c r="L21" s="115"/>
      <c r="M21" s="110"/>
      <c r="N21" s="71">
        <v>1</v>
      </c>
    </row>
    <row r="22" spans="1:14" ht="30" x14ac:dyDescent="0.25">
      <c r="A22" s="1178"/>
      <c r="B22" s="1180"/>
      <c r="C22" s="3" t="s">
        <v>36</v>
      </c>
      <c r="D22" s="7">
        <v>288025.84000000003</v>
      </c>
      <c r="E22" s="110" t="s">
        <v>1027</v>
      </c>
      <c r="F22" s="120" t="s">
        <v>1026</v>
      </c>
      <c r="G22" s="58">
        <v>288025.84000000003</v>
      </c>
      <c r="H22" s="115">
        <v>42612</v>
      </c>
      <c r="I22" s="47"/>
      <c r="J22" s="110"/>
      <c r="K22" s="110"/>
      <c r="L22" s="115"/>
      <c r="M22" s="110"/>
      <c r="N22" s="71">
        <v>1</v>
      </c>
    </row>
    <row r="23" spans="1:14" ht="30" x14ac:dyDescent="0.25">
      <c r="A23" s="1178"/>
      <c r="B23" s="1180"/>
      <c r="C23" s="3" t="s">
        <v>500</v>
      </c>
      <c r="D23" s="7">
        <v>2146362.39</v>
      </c>
      <c r="E23" s="110" t="s">
        <v>1027</v>
      </c>
      <c r="F23" s="120" t="s">
        <v>1026</v>
      </c>
      <c r="G23" s="58">
        <v>2146362.39</v>
      </c>
      <c r="H23" s="115">
        <v>42673</v>
      </c>
      <c r="I23" s="47"/>
      <c r="J23" s="110"/>
      <c r="K23" s="110"/>
      <c r="L23" s="115"/>
      <c r="M23" s="110"/>
      <c r="N23" s="84">
        <v>1</v>
      </c>
    </row>
    <row r="24" spans="1:14" ht="30" x14ac:dyDescent="0.25">
      <c r="A24" s="1178"/>
      <c r="B24" s="1180"/>
      <c r="C24" s="3" t="s">
        <v>501</v>
      </c>
      <c r="D24" s="7">
        <v>6920000</v>
      </c>
      <c r="E24" s="110" t="s">
        <v>1284</v>
      </c>
      <c r="F24" s="120" t="s">
        <v>661</v>
      </c>
      <c r="G24" s="58">
        <v>5587196.1600000001</v>
      </c>
      <c r="H24" s="115">
        <v>42696</v>
      </c>
      <c r="I24" s="47"/>
      <c r="J24" s="110"/>
      <c r="K24" s="110"/>
      <c r="L24" s="115"/>
      <c r="M24" s="110"/>
      <c r="N24" s="65">
        <v>0</v>
      </c>
    </row>
    <row r="25" spans="1:14" x14ac:dyDescent="0.25">
      <c r="A25" s="1178"/>
      <c r="B25" s="1180"/>
      <c r="C25" s="3" t="s">
        <v>1095</v>
      </c>
      <c r="D25" s="7">
        <v>60780</v>
      </c>
      <c r="E25" s="110"/>
      <c r="F25" s="120"/>
      <c r="G25" s="58"/>
      <c r="H25" s="115"/>
      <c r="I25" s="47"/>
      <c r="J25" s="110"/>
      <c r="K25" s="110"/>
      <c r="L25" s="115"/>
      <c r="M25" s="110"/>
      <c r="N25" s="65"/>
    </row>
    <row r="26" spans="1:14" ht="45" x14ac:dyDescent="0.25">
      <c r="A26" s="1178"/>
      <c r="B26" s="1180"/>
      <c r="C26" s="26" t="s">
        <v>37</v>
      </c>
      <c r="D26" s="27">
        <v>178651.19</v>
      </c>
      <c r="E26" s="17" t="s">
        <v>550</v>
      </c>
      <c r="F26" s="15" t="s">
        <v>541</v>
      </c>
      <c r="G26" s="59">
        <v>211488.03</v>
      </c>
      <c r="H26" s="16">
        <v>42460</v>
      </c>
      <c r="I26" s="16">
        <v>42475</v>
      </c>
      <c r="J26" s="17">
        <v>178651.19</v>
      </c>
      <c r="K26" s="17">
        <v>178651.19</v>
      </c>
      <c r="L26" s="16"/>
      <c r="M26" s="17"/>
      <c r="N26" s="77"/>
    </row>
    <row r="27" spans="1:14" ht="15.75" thickBot="1" x14ac:dyDescent="0.3">
      <c r="A27" s="1181" t="s">
        <v>628</v>
      </c>
      <c r="B27" s="1182"/>
      <c r="C27" s="41"/>
      <c r="D27" s="42">
        <f>SUM(D20:D26)</f>
        <v>10899576.139999999</v>
      </c>
      <c r="E27" s="36"/>
      <c r="F27" s="36"/>
      <c r="G27" s="60">
        <f>SUM(G20:G26)</f>
        <v>8638829.1399999987</v>
      </c>
      <c r="H27" s="36"/>
      <c r="I27" s="49"/>
      <c r="J27" s="32">
        <f>SUM(J20:J26)</f>
        <v>178651.19</v>
      </c>
      <c r="K27" s="42">
        <f>SUM(K20:K26)</f>
        <v>178651.19</v>
      </c>
      <c r="L27" s="101"/>
      <c r="M27" s="42"/>
      <c r="N27" s="74">
        <f>AVERAGE(N20:N26)</f>
        <v>0.6</v>
      </c>
    </row>
    <row r="28" spans="1:14" x14ac:dyDescent="0.25">
      <c r="A28" s="1177">
        <v>4</v>
      </c>
      <c r="B28" s="1179" t="s">
        <v>149</v>
      </c>
      <c r="C28" s="39" t="s">
        <v>38</v>
      </c>
      <c r="D28" s="40">
        <v>700000</v>
      </c>
      <c r="E28" s="116"/>
      <c r="F28" s="116"/>
      <c r="G28" s="57"/>
      <c r="H28" s="116"/>
      <c r="I28" s="46"/>
      <c r="J28" s="114"/>
      <c r="K28" s="114"/>
      <c r="L28" s="44"/>
      <c r="M28" s="114"/>
      <c r="N28" s="124">
        <v>0</v>
      </c>
    </row>
    <row r="29" spans="1:14" ht="30" x14ac:dyDescent="0.25">
      <c r="A29" s="1178"/>
      <c r="B29" s="1180"/>
      <c r="C29" s="3" t="s">
        <v>35</v>
      </c>
      <c r="D29" s="7">
        <v>315890.28999999998</v>
      </c>
      <c r="E29" s="110" t="s">
        <v>1027</v>
      </c>
      <c r="F29" s="120" t="s">
        <v>1026</v>
      </c>
      <c r="G29" s="58">
        <v>315890.28999999998</v>
      </c>
      <c r="H29" s="115">
        <v>42612</v>
      </c>
      <c r="I29" s="47"/>
      <c r="J29" s="110"/>
      <c r="K29" s="110"/>
      <c r="L29" s="115"/>
      <c r="M29" s="110"/>
      <c r="N29" s="71">
        <v>1</v>
      </c>
    </row>
    <row r="30" spans="1:14" ht="30" x14ac:dyDescent="0.25">
      <c r="A30" s="1178"/>
      <c r="B30" s="1180"/>
      <c r="C30" s="3" t="s">
        <v>36</v>
      </c>
      <c r="D30" s="7">
        <v>261624.71</v>
      </c>
      <c r="E30" s="110" t="s">
        <v>1027</v>
      </c>
      <c r="F30" s="120" t="s">
        <v>1026</v>
      </c>
      <c r="G30" s="58">
        <v>261624.71</v>
      </c>
      <c r="H30" s="115">
        <v>42612</v>
      </c>
      <c r="I30" s="47"/>
      <c r="J30" s="110"/>
      <c r="K30" s="110"/>
      <c r="L30" s="115"/>
      <c r="M30" s="110"/>
      <c r="N30" s="71">
        <v>1</v>
      </c>
    </row>
    <row r="31" spans="1:14" ht="30" x14ac:dyDescent="0.25">
      <c r="A31" s="1178"/>
      <c r="B31" s="1180"/>
      <c r="C31" s="3" t="s">
        <v>500</v>
      </c>
      <c r="D31" s="7">
        <v>1587277.48</v>
      </c>
      <c r="E31" s="110" t="s">
        <v>1027</v>
      </c>
      <c r="F31" s="120" t="s">
        <v>1026</v>
      </c>
      <c r="G31" s="58">
        <v>1587277.48</v>
      </c>
      <c r="H31" s="115">
        <v>42673</v>
      </c>
      <c r="I31" s="47"/>
      <c r="J31" s="110"/>
      <c r="K31" s="110"/>
      <c r="L31" s="115"/>
      <c r="M31" s="110"/>
      <c r="N31" s="84">
        <v>1</v>
      </c>
    </row>
    <row r="32" spans="1:14" ht="30" x14ac:dyDescent="0.25">
      <c r="A32" s="1178"/>
      <c r="B32" s="1180"/>
      <c r="C32" s="3" t="s">
        <v>501</v>
      </c>
      <c r="D32" s="7">
        <v>6640000</v>
      </c>
      <c r="E32" s="110" t="s">
        <v>1284</v>
      </c>
      <c r="F32" s="120" t="s">
        <v>661</v>
      </c>
      <c r="G32" s="58">
        <v>5443614.9400000004</v>
      </c>
      <c r="H32" s="115">
        <v>42696</v>
      </c>
      <c r="I32" s="47"/>
      <c r="J32" s="110"/>
      <c r="K32" s="110"/>
      <c r="L32" s="115"/>
      <c r="M32" s="110"/>
      <c r="N32" s="65">
        <v>0</v>
      </c>
    </row>
    <row r="33" spans="1:14" x14ac:dyDescent="0.25">
      <c r="A33" s="1178"/>
      <c r="B33" s="1180"/>
      <c r="C33" s="3" t="s">
        <v>1095</v>
      </c>
      <c r="D33" s="7">
        <v>46330</v>
      </c>
      <c r="E33" s="110"/>
      <c r="F33" s="120"/>
      <c r="G33" s="58"/>
      <c r="H33" s="115"/>
      <c r="I33" s="47"/>
      <c r="J33" s="110"/>
      <c r="K33" s="110"/>
      <c r="L33" s="115"/>
      <c r="M33" s="110"/>
      <c r="N33" s="65"/>
    </row>
    <row r="34" spans="1:14" ht="45" x14ac:dyDescent="0.25">
      <c r="A34" s="1178"/>
      <c r="B34" s="1180"/>
      <c r="C34" s="26" t="s">
        <v>37</v>
      </c>
      <c r="D34" s="27">
        <v>170531.82</v>
      </c>
      <c r="E34" s="17" t="s">
        <v>550</v>
      </c>
      <c r="F34" s="15" t="s">
        <v>541</v>
      </c>
      <c r="G34" s="59">
        <v>201863.11</v>
      </c>
      <c r="H34" s="16">
        <v>42460</v>
      </c>
      <c r="I34" s="16">
        <v>42475</v>
      </c>
      <c r="J34" s="17">
        <v>170531.82</v>
      </c>
      <c r="K34" s="17">
        <v>170531.82</v>
      </c>
      <c r="L34" s="16"/>
      <c r="M34" s="17"/>
      <c r="N34" s="77"/>
    </row>
    <row r="35" spans="1:14" ht="15.75" thickBot="1" x14ac:dyDescent="0.3">
      <c r="A35" s="1189" t="s">
        <v>628</v>
      </c>
      <c r="B35" s="1190"/>
      <c r="C35" s="38"/>
      <c r="D35" s="42">
        <f>SUM(D28:D34)</f>
        <v>9721654.3000000007</v>
      </c>
      <c r="E35" s="122"/>
      <c r="F35" s="122"/>
      <c r="G35" s="60">
        <f>SUM(G28:G34)</f>
        <v>7810270.5300000003</v>
      </c>
      <c r="H35" s="122"/>
      <c r="I35" s="48"/>
      <c r="J35" s="55">
        <f>SUM(J28:J34)</f>
        <v>170531.82</v>
      </c>
      <c r="K35" s="42">
        <f>SUM(K28:K34)</f>
        <v>170531.82</v>
      </c>
      <c r="L35" s="102"/>
      <c r="M35" s="23"/>
      <c r="N35" s="74">
        <f>AVERAGE(N28:N34)</f>
        <v>0.6</v>
      </c>
    </row>
    <row r="36" spans="1:14" x14ac:dyDescent="0.25">
      <c r="A36" s="1177">
        <v>5</v>
      </c>
      <c r="B36" s="1179" t="s">
        <v>150</v>
      </c>
      <c r="C36" s="39" t="s">
        <v>38</v>
      </c>
      <c r="D36" s="40">
        <v>700000</v>
      </c>
      <c r="E36" s="116"/>
      <c r="F36" s="116"/>
      <c r="G36" s="57"/>
      <c r="H36" s="116"/>
      <c r="I36" s="46"/>
      <c r="J36" s="114"/>
      <c r="K36" s="114"/>
      <c r="L36" s="44"/>
      <c r="M36" s="114"/>
      <c r="N36" s="124"/>
    </row>
    <row r="37" spans="1:14" ht="30" x14ac:dyDescent="0.25">
      <c r="A37" s="1178"/>
      <c r="B37" s="1180"/>
      <c r="C37" s="3" t="s">
        <v>35</v>
      </c>
      <c r="D37" s="7">
        <v>315890.28999999998</v>
      </c>
      <c r="E37" s="110" t="s">
        <v>1027</v>
      </c>
      <c r="F37" s="120" t="s">
        <v>1026</v>
      </c>
      <c r="G37" s="58">
        <v>315890.28999999998</v>
      </c>
      <c r="H37" s="115">
        <v>42612</v>
      </c>
      <c r="I37" s="47"/>
      <c r="J37" s="110"/>
      <c r="K37" s="110"/>
      <c r="L37" s="115"/>
      <c r="M37" s="110"/>
      <c r="N37" s="71">
        <v>1</v>
      </c>
    </row>
    <row r="38" spans="1:14" ht="30" x14ac:dyDescent="0.25">
      <c r="A38" s="1178"/>
      <c r="B38" s="1180"/>
      <c r="C38" s="3" t="s">
        <v>36</v>
      </c>
      <c r="D38" s="7">
        <v>261624.71</v>
      </c>
      <c r="E38" s="110" t="s">
        <v>1027</v>
      </c>
      <c r="F38" s="120" t="s">
        <v>1026</v>
      </c>
      <c r="G38" s="58">
        <v>261624.71</v>
      </c>
      <c r="H38" s="115">
        <v>42612</v>
      </c>
      <c r="I38" s="47"/>
      <c r="J38" s="110"/>
      <c r="K38" s="110"/>
      <c r="L38" s="115"/>
      <c r="M38" s="110"/>
      <c r="N38" s="71">
        <v>1</v>
      </c>
    </row>
    <row r="39" spans="1:14" ht="30" x14ac:dyDescent="0.25">
      <c r="A39" s="1178"/>
      <c r="B39" s="1180"/>
      <c r="C39" s="3" t="s">
        <v>500</v>
      </c>
      <c r="D39" s="7">
        <v>1587277.48</v>
      </c>
      <c r="E39" s="110" t="s">
        <v>1027</v>
      </c>
      <c r="F39" s="120" t="s">
        <v>1026</v>
      </c>
      <c r="G39" s="58">
        <v>1587277.48</v>
      </c>
      <c r="H39" s="115">
        <v>42673</v>
      </c>
      <c r="I39" s="47"/>
      <c r="J39" s="110"/>
      <c r="K39" s="110"/>
      <c r="L39" s="115"/>
      <c r="M39" s="110"/>
      <c r="N39" s="71">
        <v>1</v>
      </c>
    </row>
    <row r="40" spans="1:14" ht="30" x14ac:dyDescent="0.25">
      <c r="A40" s="1178"/>
      <c r="B40" s="1180"/>
      <c r="C40" s="3" t="s">
        <v>501</v>
      </c>
      <c r="D40" s="7">
        <v>6640000</v>
      </c>
      <c r="E40" s="110" t="s">
        <v>1284</v>
      </c>
      <c r="F40" s="120" t="s">
        <v>661</v>
      </c>
      <c r="G40" s="58">
        <v>5443614.9400000004</v>
      </c>
      <c r="H40" s="115">
        <v>42696</v>
      </c>
      <c r="I40" s="47"/>
      <c r="J40" s="110"/>
      <c r="K40" s="110"/>
      <c r="L40" s="115"/>
      <c r="M40" s="110"/>
      <c r="N40" s="65">
        <v>0</v>
      </c>
    </row>
    <row r="41" spans="1:14" x14ac:dyDescent="0.25">
      <c r="A41" s="1178"/>
      <c r="B41" s="1180"/>
      <c r="C41" s="3" t="s">
        <v>1095</v>
      </c>
      <c r="D41" s="7">
        <v>46330</v>
      </c>
      <c r="E41" s="110"/>
      <c r="F41" s="120"/>
      <c r="G41" s="58"/>
      <c r="H41" s="115"/>
      <c r="I41" s="47"/>
      <c r="J41" s="110"/>
      <c r="K41" s="110"/>
      <c r="L41" s="115"/>
      <c r="M41" s="110"/>
      <c r="N41" s="65"/>
    </row>
    <row r="42" spans="1:14" ht="45" x14ac:dyDescent="0.25">
      <c r="A42" s="1178"/>
      <c r="B42" s="1180"/>
      <c r="C42" s="26" t="s">
        <v>37</v>
      </c>
      <c r="D42" s="27">
        <v>160588.37</v>
      </c>
      <c r="E42" s="17" t="s">
        <v>550</v>
      </c>
      <c r="F42" s="15" t="s">
        <v>541</v>
      </c>
      <c r="G42" s="59">
        <v>190079.67</v>
      </c>
      <c r="H42" s="16">
        <v>42460</v>
      </c>
      <c r="I42" s="16">
        <v>42475</v>
      </c>
      <c r="J42" s="17">
        <v>160588.37</v>
      </c>
      <c r="K42" s="17">
        <v>160588.37</v>
      </c>
      <c r="L42" s="16"/>
      <c r="M42" s="17"/>
      <c r="N42" s="77"/>
    </row>
    <row r="43" spans="1:14" ht="15.75" thickBot="1" x14ac:dyDescent="0.3">
      <c r="A43" s="1181" t="s">
        <v>628</v>
      </c>
      <c r="B43" s="1182"/>
      <c r="C43" s="41"/>
      <c r="D43" s="42">
        <f>SUM(D36:D42)</f>
        <v>9711710.8499999996</v>
      </c>
      <c r="E43" s="36"/>
      <c r="F43" s="36"/>
      <c r="G43" s="60">
        <f>SUM(G36:G42)</f>
        <v>7798487.0899999999</v>
      </c>
      <c r="H43" s="36"/>
      <c r="I43" s="49"/>
      <c r="J43" s="32">
        <f>SUM(J36:J42)</f>
        <v>160588.37</v>
      </c>
      <c r="K43" s="42">
        <f>SUM(K36:K42)</f>
        <v>160588.37</v>
      </c>
      <c r="L43" s="101"/>
      <c r="M43" s="42"/>
      <c r="N43" s="74">
        <f>AVERAGE(N36:N42)</f>
        <v>0.75</v>
      </c>
    </row>
    <row r="44" spans="1:14" x14ac:dyDescent="0.25">
      <c r="A44" s="1177">
        <v>6</v>
      </c>
      <c r="B44" s="1179" t="s">
        <v>151</v>
      </c>
      <c r="C44" s="39" t="s">
        <v>38</v>
      </c>
      <c r="D44" s="40">
        <v>700000</v>
      </c>
      <c r="E44" s="116"/>
      <c r="F44" s="116"/>
      <c r="G44" s="57"/>
      <c r="H44" s="116"/>
      <c r="I44" s="46"/>
      <c r="J44" s="114"/>
      <c r="K44" s="114"/>
      <c r="L44" s="44"/>
      <c r="M44" s="114"/>
      <c r="N44" s="124">
        <v>0</v>
      </c>
    </row>
    <row r="45" spans="1:14" ht="30" x14ac:dyDescent="0.25">
      <c r="A45" s="1178"/>
      <c r="B45" s="1180"/>
      <c r="C45" s="3" t="s">
        <v>35</v>
      </c>
      <c r="D45" s="7">
        <v>315890.28999999998</v>
      </c>
      <c r="E45" s="110" t="s">
        <v>1027</v>
      </c>
      <c r="F45" s="120" t="s">
        <v>1026</v>
      </c>
      <c r="G45" s="58">
        <v>315890.28999999998</v>
      </c>
      <c r="H45" s="115">
        <v>42612</v>
      </c>
      <c r="I45" s="47"/>
      <c r="J45" s="110"/>
      <c r="K45" s="110"/>
      <c r="L45" s="115"/>
      <c r="M45" s="110"/>
      <c r="N45" s="71">
        <v>1</v>
      </c>
    </row>
    <row r="46" spans="1:14" ht="30" x14ac:dyDescent="0.25">
      <c r="A46" s="1178"/>
      <c r="B46" s="1180"/>
      <c r="C46" s="3" t="s">
        <v>36</v>
      </c>
      <c r="D46" s="7">
        <v>261624.71</v>
      </c>
      <c r="E46" s="110" t="s">
        <v>1027</v>
      </c>
      <c r="F46" s="120" t="s">
        <v>1026</v>
      </c>
      <c r="G46" s="58">
        <v>261624.71</v>
      </c>
      <c r="H46" s="115">
        <v>42612</v>
      </c>
      <c r="I46" s="47"/>
      <c r="J46" s="110"/>
      <c r="K46" s="110"/>
      <c r="L46" s="115"/>
      <c r="M46" s="110"/>
      <c r="N46" s="71">
        <v>1</v>
      </c>
    </row>
    <row r="47" spans="1:14" ht="30" x14ac:dyDescent="0.25">
      <c r="A47" s="1178"/>
      <c r="B47" s="1180"/>
      <c r="C47" s="3" t="s">
        <v>500</v>
      </c>
      <c r="D47" s="7">
        <v>1587277.48</v>
      </c>
      <c r="E47" s="110" t="s">
        <v>1027</v>
      </c>
      <c r="F47" s="120" t="s">
        <v>1026</v>
      </c>
      <c r="G47" s="58">
        <v>1587277.48</v>
      </c>
      <c r="H47" s="115">
        <v>42673</v>
      </c>
      <c r="I47" s="47"/>
      <c r="J47" s="110"/>
      <c r="K47" s="110"/>
      <c r="L47" s="115"/>
      <c r="M47" s="110"/>
      <c r="N47" s="71">
        <v>1</v>
      </c>
    </row>
    <row r="48" spans="1:14" ht="30" x14ac:dyDescent="0.25">
      <c r="A48" s="1178"/>
      <c r="B48" s="1180"/>
      <c r="C48" s="3" t="s">
        <v>501</v>
      </c>
      <c r="D48" s="7">
        <v>6640000</v>
      </c>
      <c r="E48" s="110" t="s">
        <v>1284</v>
      </c>
      <c r="F48" s="120" t="s">
        <v>661</v>
      </c>
      <c r="G48" s="58">
        <v>5443614.9400000004</v>
      </c>
      <c r="H48" s="115">
        <v>42696</v>
      </c>
      <c r="I48" s="47"/>
      <c r="J48" s="110"/>
      <c r="K48" s="110"/>
      <c r="L48" s="115"/>
      <c r="M48" s="110"/>
      <c r="N48" s="65">
        <v>0</v>
      </c>
    </row>
    <row r="49" spans="1:14" x14ac:dyDescent="0.25">
      <c r="A49" s="1178"/>
      <c r="B49" s="1180"/>
      <c r="C49" s="3" t="s">
        <v>1095</v>
      </c>
      <c r="D49" s="7">
        <v>46330</v>
      </c>
      <c r="E49" s="110"/>
      <c r="F49" s="120"/>
      <c r="G49" s="58"/>
      <c r="H49" s="115"/>
      <c r="I49" s="47"/>
      <c r="J49" s="110"/>
      <c r="K49" s="110"/>
      <c r="L49" s="115"/>
      <c r="M49" s="110"/>
      <c r="N49" s="65"/>
    </row>
    <row r="50" spans="1:14" ht="45" x14ac:dyDescent="0.25">
      <c r="A50" s="1178"/>
      <c r="B50" s="1180"/>
      <c r="C50" s="26" t="s">
        <v>37</v>
      </c>
      <c r="D50" s="27">
        <v>160299.19</v>
      </c>
      <c r="E50" s="17" t="s">
        <v>550</v>
      </c>
      <c r="F50" s="15" t="s">
        <v>541</v>
      </c>
      <c r="G50" s="59">
        <v>189737.3</v>
      </c>
      <c r="H50" s="16">
        <v>42460</v>
      </c>
      <c r="I50" s="16">
        <v>42475</v>
      </c>
      <c r="J50" s="17">
        <v>160299.19</v>
      </c>
      <c r="K50" s="17">
        <v>160299.19</v>
      </c>
      <c r="L50" s="16"/>
      <c r="M50" s="17"/>
      <c r="N50" s="77"/>
    </row>
    <row r="51" spans="1:14" ht="15.75" thickBot="1" x14ac:dyDescent="0.3">
      <c r="A51" s="1181" t="s">
        <v>628</v>
      </c>
      <c r="B51" s="1182"/>
      <c r="C51" s="41"/>
      <c r="D51" s="42">
        <f>SUM(D44:D50)</f>
        <v>9711421.6699999999</v>
      </c>
      <c r="E51" s="36"/>
      <c r="F51" s="36"/>
      <c r="G51" s="60">
        <f>SUM(G44:G50)</f>
        <v>7798144.7199999997</v>
      </c>
      <c r="H51" s="36"/>
      <c r="I51" s="49"/>
      <c r="J51" s="32">
        <f>SUM(J44:J50)</f>
        <v>160299.19</v>
      </c>
      <c r="K51" s="42">
        <f>SUM(K44:K50)</f>
        <v>160299.19</v>
      </c>
      <c r="L51" s="101"/>
      <c r="M51" s="42"/>
      <c r="N51" s="74">
        <f>AVERAGE(N44:N50)</f>
        <v>0.6</v>
      </c>
    </row>
    <row r="52" spans="1:14" ht="30" x14ac:dyDescent="0.25">
      <c r="A52" s="1177">
        <v>7</v>
      </c>
      <c r="B52" s="1179" t="s">
        <v>509</v>
      </c>
      <c r="C52" s="39" t="s">
        <v>35</v>
      </c>
      <c r="D52" s="40">
        <v>708012.53</v>
      </c>
      <c r="E52" s="119" t="s">
        <v>1027</v>
      </c>
      <c r="F52" s="119" t="s">
        <v>1026</v>
      </c>
      <c r="G52" s="57">
        <v>708012.53</v>
      </c>
      <c r="H52" s="121">
        <v>42612</v>
      </c>
      <c r="I52" s="46"/>
      <c r="J52" s="114"/>
      <c r="K52" s="114"/>
      <c r="L52" s="44"/>
      <c r="M52" s="114"/>
      <c r="N52" s="73">
        <v>1</v>
      </c>
    </row>
    <row r="53" spans="1:14" x14ac:dyDescent="0.25">
      <c r="A53" s="1183"/>
      <c r="B53" s="1184"/>
      <c r="C53" s="3" t="s">
        <v>1095</v>
      </c>
      <c r="D53" s="37">
        <v>15150</v>
      </c>
      <c r="E53" s="109"/>
      <c r="F53" s="109"/>
      <c r="G53" s="62"/>
      <c r="H53" s="107"/>
      <c r="I53" s="50"/>
      <c r="J53" s="111"/>
      <c r="K53" s="111"/>
      <c r="L53" s="43"/>
      <c r="M53" s="111"/>
      <c r="N53" s="125"/>
    </row>
    <row r="54" spans="1:14" ht="45" x14ac:dyDescent="0.25">
      <c r="A54" s="1178"/>
      <c r="B54" s="1180"/>
      <c r="C54" s="26" t="s">
        <v>37</v>
      </c>
      <c r="D54" s="27">
        <v>56123.19</v>
      </c>
      <c r="E54" s="17" t="s">
        <v>550</v>
      </c>
      <c r="F54" s="15" t="s">
        <v>541</v>
      </c>
      <c r="G54" s="59">
        <v>56177.22</v>
      </c>
      <c r="H54" s="16">
        <v>42460</v>
      </c>
      <c r="I54" s="16">
        <v>42475</v>
      </c>
      <c r="J54" s="17">
        <v>56123.19</v>
      </c>
      <c r="K54" s="17">
        <v>56123.19</v>
      </c>
      <c r="L54" s="16"/>
      <c r="M54" s="17"/>
      <c r="N54" s="77"/>
    </row>
    <row r="55" spans="1:14" ht="15.75" thickBot="1" x14ac:dyDescent="0.3">
      <c r="A55" s="1181" t="s">
        <v>628</v>
      </c>
      <c r="B55" s="1182"/>
      <c r="C55" s="41"/>
      <c r="D55" s="42">
        <f>SUM(D52:D54)</f>
        <v>779285.72</v>
      </c>
      <c r="E55" s="36"/>
      <c r="F55" s="36"/>
      <c r="G55" s="60">
        <f>SUM(G52:G54)</f>
        <v>764189.75</v>
      </c>
      <c r="H55" s="36"/>
      <c r="I55" s="49"/>
      <c r="J55" s="32">
        <f>SUM(J52:J54)</f>
        <v>56123.19</v>
      </c>
      <c r="K55" s="42">
        <f>SUM(K52:K54)</f>
        <v>56123.19</v>
      </c>
      <c r="L55" s="101"/>
      <c r="M55" s="42"/>
      <c r="N55" s="74">
        <f>AVERAGE(N52:N54)</f>
        <v>1</v>
      </c>
    </row>
    <row r="56" spans="1:14" ht="30" x14ac:dyDescent="0.25">
      <c r="A56" s="1177">
        <v>8</v>
      </c>
      <c r="B56" s="1179" t="s">
        <v>510</v>
      </c>
      <c r="C56" s="39" t="s">
        <v>500</v>
      </c>
      <c r="D56" s="40">
        <v>4291263.8499999996</v>
      </c>
      <c r="E56" s="119" t="s">
        <v>1027</v>
      </c>
      <c r="F56" s="119" t="s">
        <v>1026</v>
      </c>
      <c r="G56" s="57">
        <v>4291263.8499999996</v>
      </c>
      <c r="H56" s="115">
        <v>42673</v>
      </c>
      <c r="I56" s="46"/>
      <c r="J56" s="114"/>
      <c r="K56" s="114"/>
      <c r="L56" s="44"/>
      <c r="M56" s="114"/>
      <c r="N56" s="126">
        <v>0.7</v>
      </c>
    </row>
    <row r="57" spans="1:14" x14ac:dyDescent="0.25">
      <c r="A57" s="1183"/>
      <c r="B57" s="1184"/>
      <c r="C57" s="3" t="s">
        <v>1095</v>
      </c>
      <c r="D57" s="37">
        <v>91830</v>
      </c>
      <c r="E57" s="109"/>
      <c r="F57" s="109"/>
      <c r="G57" s="62"/>
      <c r="H57" s="115"/>
      <c r="I57" s="50"/>
      <c r="J57" s="111"/>
      <c r="K57" s="111"/>
      <c r="L57" s="43"/>
      <c r="M57" s="111"/>
      <c r="N57" s="125"/>
    </row>
    <row r="58" spans="1:14" ht="45" x14ac:dyDescent="0.25">
      <c r="A58" s="1178"/>
      <c r="B58" s="1180"/>
      <c r="C58" s="26" t="s">
        <v>37</v>
      </c>
      <c r="D58" s="27">
        <v>109093.66</v>
      </c>
      <c r="E58" s="17" t="s">
        <v>550</v>
      </c>
      <c r="F58" s="15" t="s">
        <v>541</v>
      </c>
      <c r="G58" s="59">
        <v>109198.66</v>
      </c>
      <c r="H58" s="16">
        <v>42460</v>
      </c>
      <c r="I58" s="16">
        <v>42475</v>
      </c>
      <c r="J58" s="17">
        <v>109093.66</v>
      </c>
      <c r="K58" s="17">
        <v>109093.66</v>
      </c>
      <c r="L58" s="16"/>
      <c r="M58" s="17"/>
      <c r="N58" s="77"/>
    </row>
    <row r="59" spans="1:14" ht="15.75" thickBot="1" x14ac:dyDescent="0.3">
      <c r="A59" s="1181" t="s">
        <v>628</v>
      </c>
      <c r="B59" s="1182"/>
      <c r="C59" s="41"/>
      <c r="D59" s="42">
        <f>SUM(D56:D58)</f>
        <v>4492187.51</v>
      </c>
      <c r="E59" s="36"/>
      <c r="F59" s="36"/>
      <c r="G59" s="60">
        <f>SUM(G56:G58)</f>
        <v>4400462.51</v>
      </c>
      <c r="H59" s="36"/>
      <c r="I59" s="49"/>
      <c r="J59" s="32">
        <f>SUM(J56:J58)</f>
        <v>109093.66</v>
      </c>
      <c r="K59" s="42">
        <f>SUM(K56:K58)</f>
        <v>109093.66</v>
      </c>
      <c r="L59" s="101"/>
      <c r="M59" s="42"/>
      <c r="N59" s="74">
        <f>AVERAGE(N56:N58)</f>
        <v>0.7</v>
      </c>
    </row>
    <row r="60" spans="1:14" ht="30" x14ac:dyDescent="0.25">
      <c r="A60" s="1177">
        <v>9</v>
      </c>
      <c r="B60" s="1179" t="s">
        <v>511</v>
      </c>
      <c r="C60" s="39" t="s">
        <v>500</v>
      </c>
      <c r="D60" s="40">
        <v>4291263.82</v>
      </c>
      <c r="E60" s="119" t="s">
        <v>1027</v>
      </c>
      <c r="F60" s="119" t="s">
        <v>1026</v>
      </c>
      <c r="G60" s="57">
        <v>4291263.82</v>
      </c>
      <c r="H60" s="115">
        <v>42673</v>
      </c>
      <c r="I60" s="46"/>
      <c r="J60" s="114"/>
      <c r="K60" s="114"/>
      <c r="L60" s="44"/>
      <c r="M60" s="114"/>
      <c r="N60" s="126">
        <v>0.95</v>
      </c>
    </row>
    <row r="61" spans="1:14" x14ac:dyDescent="0.25">
      <c r="A61" s="1183"/>
      <c r="B61" s="1184"/>
      <c r="C61" s="3" t="s">
        <v>1095</v>
      </c>
      <c r="D61" s="37">
        <v>91830</v>
      </c>
      <c r="E61" s="109"/>
      <c r="F61" s="109"/>
      <c r="G61" s="62"/>
      <c r="H61" s="115"/>
      <c r="I61" s="50"/>
      <c r="J61" s="111"/>
      <c r="K61" s="111"/>
      <c r="L61" s="43"/>
      <c r="M61" s="111"/>
      <c r="N61" s="125"/>
    </row>
    <row r="62" spans="1:14" ht="45" x14ac:dyDescent="0.25">
      <c r="A62" s="1178"/>
      <c r="B62" s="1180"/>
      <c r="C62" s="26" t="s">
        <v>37</v>
      </c>
      <c r="D62" s="27">
        <v>109093.66</v>
      </c>
      <c r="E62" s="17" t="s">
        <v>550</v>
      </c>
      <c r="F62" s="15" t="s">
        <v>541</v>
      </c>
      <c r="G62" s="59">
        <v>109198.66</v>
      </c>
      <c r="H62" s="16">
        <v>42460</v>
      </c>
      <c r="I62" s="16">
        <v>42475</v>
      </c>
      <c r="J62" s="17">
        <v>109093.66</v>
      </c>
      <c r="K62" s="17">
        <v>109093.66</v>
      </c>
      <c r="L62" s="16"/>
      <c r="M62" s="17"/>
      <c r="N62" s="77"/>
    </row>
    <row r="63" spans="1:14" ht="15.75" thickBot="1" x14ac:dyDescent="0.3">
      <c r="A63" s="1181" t="s">
        <v>628</v>
      </c>
      <c r="B63" s="1182"/>
      <c r="C63" s="41"/>
      <c r="D63" s="42">
        <f>SUM(D60:D62)</f>
        <v>4492187.4800000004</v>
      </c>
      <c r="E63" s="36"/>
      <c r="F63" s="36"/>
      <c r="G63" s="60">
        <f>SUM(G60:G62)</f>
        <v>4400462.4800000004</v>
      </c>
      <c r="H63" s="36"/>
      <c r="I63" s="49"/>
      <c r="J63" s="32">
        <f>SUM(J60:J62)</f>
        <v>109093.66</v>
      </c>
      <c r="K63" s="42">
        <f>SUM(K60:K62)</f>
        <v>109093.66</v>
      </c>
      <c r="L63" s="101"/>
      <c r="M63" s="42"/>
      <c r="N63" s="74">
        <f>AVERAGE(N60:N62)</f>
        <v>0.95</v>
      </c>
    </row>
    <row r="64" spans="1:14" x14ac:dyDescent="0.25">
      <c r="A64" s="1187" t="s">
        <v>1097</v>
      </c>
      <c r="B64" s="1188"/>
      <c r="C64" s="90"/>
      <c r="D64" s="112">
        <v>980000</v>
      </c>
      <c r="E64" s="117"/>
      <c r="F64" s="118"/>
      <c r="G64" s="85">
        <f>SUM(G65:G69)</f>
        <v>918394.15</v>
      </c>
      <c r="H64" s="106"/>
      <c r="I64" s="108"/>
      <c r="J64" s="112"/>
      <c r="K64" s="112"/>
      <c r="L64" s="100"/>
      <c r="M64" s="112"/>
      <c r="N64" s="86"/>
    </row>
    <row r="65" spans="1:14" ht="30" x14ac:dyDescent="0.25">
      <c r="A65" s="1178"/>
      <c r="B65" s="87" t="s">
        <v>1220</v>
      </c>
      <c r="C65" s="29" t="s">
        <v>37</v>
      </c>
      <c r="D65" s="28"/>
      <c r="E65" s="1174" t="s">
        <v>1219</v>
      </c>
      <c r="F65" s="1174" t="s">
        <v>541</v>
      </c>
      <c r="G65" s="28">
        <v>215213.91</v>
      </c>
      <c r="H65" s="1173">
        <v>42724</v>
      </c>
      <c r="I65" s="47"/>
      <c r="J65" s="113"/>
      <c r="K65" s="113"/>
      <c r="L65" s="104"/>
      <c r="M65" s="113"/>
      <c r="N65" s="127"/>
    </row>
    <row r="66" spans="1:14" ht="30" x14ac:dyDescent="0.25">
      <c r="A66" s="1178"/>
      <c r="B66" s="87" t="s">
        <v>1221</v>
      </c>
      <c r="C66" s="29" t="s">
        <v>37</v>
      </c>
      <c r="D66" s="28"/>
      <c r="E66" s="1175"/>
      <c r="F66" s="1175"/>
      <c r="G66" s="28">
        <v>169446.25</v>
      </c>
      <c r="H66" s="1171"/>
      <c r="I66" s="47"/>
      <c r="J66" s="113"/>
      <c r="K66" s="113"/>
      <c r="L66" s="104"/>
      <c r="M66" s="113"/>
      <c r="N66" s="127"/>
    </row>
    <row r="67" spans="1:14" ht="30" x14ac:dyDescent="0.25">
      <c r="A67" s="1178"/>
      <c r="B67" s="87" t="s">
        <v>1222</v>
      </c>
      <c r="C67" s="29" t="s">
        <v>37</v>
      </c>
      <c r="D67" s="28"/>
      <c r="E67" s="1175"/>
      <c r="F67" s="1175"/>
      <c r="G67" s="28">
        <v>182691.27</v>
      </c>
      <c r="H67" s="1171"/>
      <c r="I67" s="47"/>
      <c r="J67" s="113"/>
      <c r="K67" s="113"/>
      <c r="L67" s="104"/>
      <c r="M67" s="113"/>
      <c r="N67" s="127"/>
    </row>
    <row r="68" spans="1:14" ht="30" x14ac:dyDescent="0.25">
      <c r="A68" s="1178"/>
      <c r="B68" s="87" t="s">
        <v>1223</v>
      </c>
      <c r="C68" s="29" t="s">
        <v>37</v>
      </c>
      <c r="D68" s="28"/>
      <c r="E68" s="1175"/>
      <c r="F68" s="1175"/>
      <c r="G68" s="28">
        <v>182602.23</v>
      </c>
      <c r="H68" s="1171"/>
      <c r="I68" s="47"/>
      <c r="J68" s="113"/>
      <c r="K68" s="113"/>
      <c r="L68" s="104"/>
      <c r="M68" s="113"/>
      <c r="N68" s="127"/>
    </row>
    <row r="69" spans="1:14" x14ac:dyDescent="0.25">
      <c r="A69" s="1178"/>
      <c r="B69" s="87" t="s">
        <v>1224</v>
      </c>
      <c r="C69" s="29" t="s">
        <v>37</v>
      </c>
      <c r="D69" s="28"/>
      <c r="E69" s="1176"/>
      <c r="F69" s="1176"/>
      <c r="G69" s="28">
        <v>168440.49</v>
      </c>
      <c r="H69" s="1172"/>
      <c r="I69" s="47"/>
      <c r="J69" s="113"/>
      <c r="K69" s="113"/>
      <c r="L69" s="104"/>
      <c r="M69" s="113"/>
      <c r="N69" s="127"/>
    </row>
    <row r="70" spans="1:14" ht="15.75" thickBot="1" x14ac:dyDescent="0.3">
      <c r="A70" s="1185" t="s">
        <v>629</v>
      </c>
      <c r="B70" s="1186"/>
      <c r="C70" s="66"/>
      <c r="D70" s="79">
        <f>SUM(D63,D59,D55,D51,D43,D35,D27,D19,D11,D64)</f>
        <v>71391658.420000002</v>
      </c>
      <c r="E70" s="66"/>
      <c r="F70" s="66"/>
      <c r="G70" s="88">
        <f>SUM(G64,G63,G59,G55,G51,G43,G35,G27,G19,G11)</f>
        <v>58957482.589999996</v>
      </c>
      <c r="H70" s="66"/>
      <c r="I70" s="89"/>
      <c r="J70" s="79">
        <f>SUM(J63,J59,J55,J51,J43,J35,J27,J19,J11)</f>
        <v>1275968.42</v>
      </c>
      <c r="K70" s="79">
        <f>SUM(K63,K59,K55,K51,K43,K35,K27,K19,K11)</f>
        <v>1275968.42</v>
      </c>
      <c r="L70" s="95"/>
      <c r="M70" s="79"/>
      <c r="N70" s="128">
        <f>AVERAGE(N63,N59,N55,N51,N43,N35,N27,N19,N11)</f>
        <v>0.69111111111111112</v>
      </c>
    </row>
  </sheetData>
  <mergeCells count="35">
    <mergeCell ref="B1:K1"/>
    <mergeCell ref="A4:A10"/>
    <mergeCell ref="B4:B10"/>
    <mergeCell ref="A11:B11"/>
    <mergeCell ref="B36:B42"/>
    <mergeCell ref="A3:N3"/>
    <mergeCell ref="A43:B43"/>
    <mergeCell ref="A12:A18"/>
    <mergeCell ref="B12:B18"/>
    <mergeCell ref="A19:B19"/>
    <mergeCell ref="A20:A26"/>
    <mergeCell ref="B20:B26"/>
    <mergeCell ref="A27:B27"/>
    <mergeCell ref="A28:A34"/>
    <mergeCell ref="B28:B34"/>
    <mergeCell ref="A35:B35"/>
    <mergeCell ref="A36:A42"/>
    <mergeCell ref="A70:B70"/>
    <mergeCell ref="A56:A58"/>
    <mergeCell ref="B56:B58"/>
    <mergeCell ref="A59:B59"/>
    <mergeCell ref="A60:A62"/>
    <mergeCell ref="B60:B62"/>
    <mergeCell ref="A63:B63"/>
    <mergeCell ref="A64:B64"/>
    <mergeCell ref="A65:A69"/>
    <mergeCell ref="E65:E69"/>
    <mergeCell ref="F65:F69"/>
    <mergeCell ref="H65:H69"/>
    <mergeCell ref="A44:A50"/>
    <mergeCell ref="B44:B50"/>
    <mergeCell ref="A51:B51"/>
    <mergeCell ref="A52:A54"/>
    <mergeCell ref="B52:B54"/>
    <mergeCell ref="A55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МКД</vt:lpstr>
      <vt:lpstr>Лист1</vt:lpstr>
      <vt:lpstr>МКД!Заголовки_для_печати</vt:lpstr>
      <vt:lpstr>МКД!Область_печати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p.loskutov</dc:creator>
  <cp:lastModifiedBy>Прядеха Юлия Юрьевна</cp:lastModifiedBy>
  <cp:lastPrinted>2017-02-10T04:15:16Z</cp:lastPrinted>
  <dcterms:created xsi:type="dcterms:W3CDTF">2015-05-22T00:32:59Z</dcterms:created>
  <dcterms:modified xsi:type="dcterms:W3CDTF">2017-02-14T05:17:15Z</dcterms:modified>
</cp:coreProperties>
</file>