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y.pryadekha\Desktop\"/>
    </mc:Choice>
  </mc:AlternateContent>
  <bookViews>
    <workbookView xWindow="0" yWindow="0" windowWidth="24000" windowHeight="9735" tabRatio="925" activeTab="1"/>
  </bookViews>
  <sheets>
    <sheet name="Общий Свод" sheetId="4" r:id="rId1"/>
    <sheet name="Свод конструктивы" sheetId="22" r:id="rId2"/>
    <sheet name="Алек-Сах" sheetId="5" r:id="rId3"/>
    <sheet name="Анива" sheetId="6" r:id="rId4"/>
    <sheet name="Бошняково" sheetId="7" r:id="rId5"/>
    <sheet name="Долинск" sheetId="8" r:id="rId6"/>
    <sheet name="Корсаков" sheetId="1" r:id="rId7"/>
    <sheet name="Курильск" sheetId="9" r:id="rId8"/>
    <sheet name="Макаров" sheetId="10" r:id="rId9"/>
    <sheet name="Невельск" sheetId="11" r:id="rId10"/>
    <sheet name="Ноглики" sheetId="12" r:id="rId11"/>
    <sheet name="Оха" sheetId="13" r:id="rId12"/>
    <sheet name="Поронайск" sheetId="14" r:id="rId13"/>
    <sheet name="Северо-Курильск" sheetId="15" r:id="rId14"/>
    <sheet name="Смирных" sheetId="2" r:id="rId15"/>
    <sheet name="Томари" sheetId="16" r:id="rId16"/>
    <sheet name="Тымовск" sheetId="17" r:id="rId17"/>
    <sheet name="Углегорск" sheetId="18" r:id="rId18"/>
    <sheet name="Холмск" sheetId="19" r:id="rId19"/>
    <sheet name="Шахтерск" sheetId="20" r:id="rId20"/>
    <sheet name="Южно-Курильск" sheetId="21" r:id="rId21"/>
    <sheet name="Южный" sheetId="3" r:id="rId22"/>
  </sheets>
  <definedNames>
    <definedName name="_xlnm._FilterDatabase" localSheetId="2" hidden="1">'Алек-Сах'!$A$7:$L$132</definedName>
    <definedName name="_xlnm._FilterDatabase" localSheetId="3" hidden="1">Анива!$A$6:$M$80</definedName>
    <definedName name="_xlnm._FilterDatabase" localSheetId="5" hidden="1">Долинск!$A$7:$M$86</definedName>
    <definedName name="_xlnm._FilterDatabase" localSheetId="6" hidden="1">Корсаков!$A$6:$M$202</definedName>
    <definedName name="_xlnm._FilterDatabase" localSheetId="7" hidden="1">Курильск!$A$7:$M$67</definedName>
    <definedName name="_xlnm._FilterDatabase" localSheetId="8" hidden="1">Макаров!$A$7:$L$28</definedName>
    <definedName name="_xlnm._FilterDatabase" localSheetId="9" hidden="1">Невельск!$A$6:$M$62</definedName>
    <definedName name="_xlnm._FilterDatabase" localSheetId="10" hidden="1">Ноглики!$A$7:$M$24</definedName>
    <definedName name="_xlnm._FilterDatabase" localSheetId="11" hidden="1">Оха!$A$7:$N$210</definedName>
    <definedName name="_xlnm._FilterDatabase" localSheetId="12" hidden="1">Поронайск!$A$6:$O$97</definedName>
    <definedName name="_xlnm._FilterDatabase" localSheetId="13" hidden="1">'Северо-Курильск'!$A$7:$M$58</definedName>
    <definedName name="_xlnm._FilterDatabase" localSheetId="14" hidden="1">Смирных!$A$6:$M$97</definedName>
    <definedName name="_xlnm._FilterDatabase" localSheetId="15" hidden="1">Томари!$A$7:$O$84</definedName>
    <definedName name="_xlnm._FilterDatabase" localSheetId="16" hidden="1">Тымовск!$A$7:$N$82</definedName>
    <definedName name="_xlnm._FilterDatabase" localSheetId="17" hidden="1">Углегорск!$A$7:$L$124</definedName>
    <definedName name="_xlnm._FilterDatabase" localSheetId="18" hidden="1">Холмск!$A$7:$M$128</definedName>
    <definedName name="_xlnm._FilterDatabase" localSheetId="19" hidden="1">Шахтерск!$A$7:$L$145</definedName>
    <definedName name="_xlnm._FilterDatabase" localSheetId="20" hidden="1">'Южно-Курильск'!$A$7:$L$51</definedName>
    <definedName name="_xlnm._FilterDatabase" localSheetId="21" hidden="1">Южный!$A$6:$M$568</definedName>
    <definedName name="_xlnm.Print_Area" localSheetId="2">'Алек-Сах'!$A$1:$M$143</definedName>
    <definedName name="_xlnm.Print_Area" localSheetId="4">Бошняково!$A$1:$M$16</definedName>
    <definedName name="_xlnm.Print_Area" localSheetId="5">Долинск!$A$1:$M$125</definedName>
    <definedName name="_xlnm.Print_Area" localSheetId="6">Корсаков!$A$1:$M$219</definedName>
    <definedName name="_xlnm.Print_Area" localSheetId="7">Курильск!$A$1:$L$88</definedName>
    <definedName name="_xlnm.Print_Area" localSheetId="8">Макаров!$A$1:$M$43</definedName>
    <definedName name="_xlnm.Print_Area" localSheetId="9">Невельск!$A$1:$M$76</definedName>
    <definedName name="_xlnm.Print_Area" localSheetId="10">Ноглики!$A$1:$L$41</definedName>
    <definedName name="_xlnm.Print_Area" localSheetId="0">'Общий Свод'!$A$1:$S$26</definedName>
    <definedName name="_xlnm.Print_Area" localSheetId="11">Оха!$A$1:$M$228</definedName>
    <definedName name="_xlnm.Print_Area" localSheetId="12">Поронайск!$A$1:$M$115</definedName>
    <definedName name="_xlnm.Print_Area" localSheetId="1">'Свод конструктивы'!$A$1:$BN$27</definedName>
    <definedName name="_xlnm.Print_Area" localSheetId="13">'Северо-Курильск'!$A$1:$M$72</definedName>
    <definedName name="_xlnm.Print_Area" localSheetId="14">Смирных!$A$1:$L$108</definedName>
    <definedName name="_xlnm.Print_Area" localSheetId="15">Томари!$A$1:$M$97</definedName>
    <definedName name="_xlnm.Print_Area" localSheetId="16">Тымовск!$A$1:$M$98</definedName>
    <definedName name="_xlnm.Print_Area" localSheetId="17">Углегорск!$A$1:$M$147</definedName>
    <definedName name="_xlnm.Print_Area" localSheetId="18">Холмск!$A$1:$M$145</definedName>
    <definedName name="_xlnm.Print_Area" localSheetId="19">Шахтерск!$A$1:$M$165</definedName>
    <definedName name="_xlnm.Print_Area" localSheetId="20">'Южно-Курильск'!$A$1:$L$76</definedName>
    <definedName name="_xlnm.Print_Area" localSheetId="21">Южный!$A$1:$M$583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9" l="1"/>
  <c r="D80" i="19"/>
  <c r="K68" i="11" l="1"/>
  <c r="J68" i="11"/>
  <c r="I68" i="11"/>
  <c r="G68" i="11"/>
  <c r="F68" i="11"/>
  <c r="E68" i="11"/>
  <c r="C68" i="11"/>
  <c r="D61" i="11"/>
  <c r="D60" i="11" s="1"/>
  <c r="K60" i="11"/>
  <c r="J60" i="11"/>
  <c r="I60" i="11"/>
  <c r="H60" i="11"/>
  <c r="G60" i="11"/>
  <c r="E60" i="11"/>
  <c r="F60" i="11"/>
  <c r="C60" i="11"/>
  <c r="H419" i="3" l="1"/>
  <c r="H113" i="19"/>
  <c r="D69" i="13" l="1"/>
  <c r="D75" i="13"/>
  <c r="E220" i="13" l="1"/>
  <c r="F220" i="13"/>
  <c r="G220" i="13"/>
  <c r="I220" i="13"/>
  <c r="J220" i="13"/>
  <c r="K220" i="13"/>
  <c r="C220" i="13"/>
  <c r="K137" i="19" l="1"/>
  <c r="J137" i="19"/>
  <c r="I137" i="19"/>
  <c r="K579" i="3" l="1"/>
  <c r="J579" i="3"/>
  <c r="I579" i="3"/>
  <c r="H579" i="3"/>
  <c r="G579" i="3"/>
  <c r="F579" i="3"/>
  <c r="E579" i="3"/>
  <c r="D579" i="3"/>
  <c r="C579" i="3"/>
  <c r="Q23" i="22" l="1"/>
  <c r="K126" i="19"/>
  <c r="J126" i="19"/>
  <c r="I126" i="19"/>
  <c r="G126" i="19"/>
  <c r="D127" i="19"/>
  <c r="E126" i="19"/>
  <c r="C126" i="19"/>
  <c r="H126" i="19" l="1"/>
  <c r="F126" i="19"/>
  <c r="D82" i="3"/>
  <c r="D126" i="19" l="1"/>
  <c r="D139" i="20"/>
  <c r="D135" i="20"/>
  <c r="D37" i="20"/>
  <c r="D34" i="20"/>
  <c r="E155" i="20" l="1"/>
  <c r="F155" i="20"/>
  <c r="G155" i="20"/>
  <c r="H155" i="20"/>
  <c r="I155" i="20"/>
  <c r="J155" i="20"/>
  <c r="K155" i="20"/>
  <c r="C155" i="20"/>
  <c r="H15" i="16" l="1"/>
  <c r="D30" i="18" l="1"/>
  <c r="D29" i="18"/>
  <c r="D28" i="18"/>
  <c r="D27" i="18"/>
  <c r="D26" i="18"/>
  <c r="D25" i="18"/>
  <c r="D11" i="8" l="1"/>
  <c r="F560" i="3" l="1"/>
  <c r="E560" i="3"/>
  <c r="F557" i="3"/>
  <c r="F556" i="3" s="1"/>
  <c r="E557" i="3"/>
  <c r="E556" i="3" s="1"/>
  <c r="H556" i="3"/>
  <c r="I556" i="3"/>
  <c r="J556" i="3"/>
  <c r="K556" i="3"/>
  <c r="C556" i="3"/>
  <c r="G557" i="3" l="1"/>
  <c r="D557" i="3" s="1"/>
  <c r="D556" i="3" s="1"/>
  <c r="G560" i="3"/>
  <c r="D560" i="3" s="1"/>
  <c r="H453" i="3"/>
  <c r="G556" i="3" l="1"/>
  <c r="E213" i="1"/>
  <c r="F213" i="1"/>
  <c r="G213" i="1"/>
  <c r="I213" i="1"/>
  <c r="J213" i="1"/>
  <c r="K213" i="1"/>
  <c r="C213" i="1"/>
  <c r="K95" i="8" l="1"/>
  <c r="J95" i="8"/>
  <c r="I95" i="8"/>
  <c r="C95" i="8"/>
  <c r="D18" i="8" l="1"/>
  <c r="D92" i="1"/>
  <c r="C91" i="1" l="1"/>
  <c r="H28" i="8" l="1"/>
  <c r="D51" i="13" l="1"/>
  <c r="D18" i="13"/>
  <c r="D59" i="13"/>
  <c r="D9" i="13" l="1"/>
  <c r="D43" i="13"/>
  <c r="D27" i="13"/>
  <c r="D20" i="8" l="1"/>
  <c r="D83" i="8"/>
  <c r="D26" i="8"/>
  <c r="D9" i="8"/>
  <c r="D55" i="8"/>
  <c r="D12" i="8"/>
  <c r="D76" i="8"/>
  <c r="H85" i="8" l="1"/>
  <c r="D85" i="8"/>
  <c r="K84" i="8"/>
  <c r="J84" i="8"/>
  <c r="I84" i="8"/>
  <c r="G84" i="8"/>
  <c r="F84" i="8"/>
  <c r="E84" i="8"/>
  <c r="C84" i="8"/>
  <c r="H84" i="8" l="1"/>
  <c r="D84" i="8"/>
  <c r="K448" i="3" l="1"/>
  <c r="J448" i="3"/>
  <c r="I448" i="3"/>
  <c r="G448" i="3"/>
  <c r="F448" i="3"/>
  <c r="E448" i="3"/>
  <c r="C448" i="3"/>
  <c r="D449" i="3"/>
  <c r="D89" i="13" l="1"/>
  <c r="D82" i="13"/>
  <c r="D377" i="3" l="1"/>
  <c r="D378" i="3" l="1"/>
  <c r="D369" i="3" l="1"/>
  <c r="K368" i="3" l="1"/>
  <c r="J368" i="3"/>
  <c r="I368" i="3"/>
  <c r="G368" i="3"/>
  <c r="F368" i="3"/>
  <c r="E368" i="3"/>
  <c r="C368" i="3"/>
  <c r="H24" i="15" l="1"/>
  <c r="K133" i="18"/>
  <c r="J133" i="18"/>
  <c r="I133" i="18"/>
  <c r="G133" i="18"/>
  <c r="F133" i="18"/>
  <c r="E133" i="18"/>
  <c r="D133" i="18"/>
  <c r="C133" i="18"/>
  <c r="D22" i="18" l="1"/>
  <c r="D127" i="20" l="1"/>
  <c r="D132" i="20"/>
  <c r="T27" i="4" l="1"/>
  <c r="H564" i="3"/>
  <c r="H398" i="3" l="1"/>
  <c r="H84" i="20"/>
  <c r="H80" i="8"/>
  <c r="H81" i="8"/>
  <c r="H79" i="8"/>
  <c r="H78" i="8"/>
  <c r="J38" i="6"/>
  <c r="D116" i="19" l="1"/>
  <c r="D122" i="19"/>
  <c r="H72" i="3" l="1"/>
  <c r="D74" i="5" l="1"/>
  <c r="D71" i="5"/>
  <c r="D68" i="5"/>
  <c r="D45" i="5" l="1"/>
  <c r="D37" i="5"/>
  <c r="H97" i="3" l="1"/>
  <c r="K66" i="15" l="1"/>
  <c r="J66" i="15"/>
  <c r="I66" i="15"/>
  <c r="H66" i="15"/>
  <c r="G66" i="15"/>
  <c r="F66" i="15"/>
  <c r="E66" i="15"/>
  <c r="D66" i="15"/>
  <c r="C66" i="15"/>
  <c r="D56" i="15"/>
  <c r="D53" i="15"/>
  <c r="D47" i="15"/>
  <c r="D50" i="15"/>
  <c r="D44" i="15"/>
  <c r="D37" i="15"/>
  <c r="D36" i="15"/>
  <c r="D33" i="15"/>
  <c r="D30" i="15"/>
  <c r="D27" i="15"/>
  <c r="D24" i="15"/>
  <c r="D20" i="15"/>
  <c r="H458" i="3" l="1"/>
  <c r="D13" i="15" l="1"/>
  <c r="D12" i="15"/>
  <c r="D9" i="15" l="1"/>
  <c r="D8" i="15"/>
  <c r="D72" i="3" l="1"/>
  <c r="K71" i="3" l="1"/>
  <c r="J71" i="3"/>
  <c r="I71" i="3"/>
  <c r="C71" i="3"/>
  <c r="H91" i="14" l="1"/>
  <c r="H92" i="14"/>
  <c r="H93" i="14"/>
  <c r="D110" i="19" l="1"/>
  <c r="D107" i="19"/>
  <c r="D398" i="3" l="1"/>
  <c r="I397" i="3" l="1"/>
  <c r="J397" i="3"/>
  <c r="K397" i="3"/>
  <c r="C397" i="3"/>
  <c r="D453" i="3" l="1"/>
  <c r="D113" i="19" l="1"/>
  <c r="D564" i="3" l="1"/>
  <c r="D97" i="3" l="1"/>
  <c r="E96" i="3"/>
  <c r="F96" i="3"/>
  <c r="G96" i="3"/>
  <c r="I96" i="3"/>
  <c r="J96" i="3"/>
  <c r="K96" i="3"/>
  <c r="C96" i="3"/>
  <c r="F458" i="3" l="1"/>
  <c r="E458" i="3"/>
  <c r="G458" i="3" l="1"/>
  <c r="D458" i="3" s="1"/>
  <c r="H8" i="18"/>
  <c r="H122" i="18"/>
  <c r="H15" i="18"/>
  <c r="F81" i="8" l="1"/>
  <c r="E81" i="8"/>
  <c r="F80" i="8"/>
  <c r="E80" i="8"/>
  <c r="F79" i="8"/>
  <c r="E79" i="8"/>
  <c r="F78" i="8"/>
  <c r="E78" i="8"/>
  <c r="G78" i="8" l="1"/>
  <c r="D78" i="8" s="1"/>
  <c r="G79" i="8"/>
  <c r="D79" i="8" s="1"/>
  <c r="G80" i="8"/>
  <c r="D80" i="8" s="1"/>
  <c r="G81" i="8"/>
  <c r="D81" i="8" s="1"/>
  <c r="H58" i="16" l="1"/>
  <c r="H184" i="3"/>
  <c r="H180" i="3"/>
  <c r="H176" i="3"/>
  <c r="H170" i="3"/>
  <c r="H166" i="3"/>
  <c r="H162" i="3"/>
  <c r="H159" i="3"/>
  <c r="H156" i="3"/>
  <c r="H142" i="3"/>
  <c r="H135" i="3"/>
  <c r="H131" i="3"/>
  <c r="H120" i="3"/>
  <c r="H112" i="3"/>
  <c r="H108" i="3"/>
  <c r="H105" i="3"/>
  <c r="H98" i="3"/>
  <c r="H96" i="3" s="1"/>
  <c r="H102" i="3"/>
  <c r="K10" i="10"/>
  <c r="D14" i="5" l="1"/>
  <c r="D28" i="5"/>
  <c r="D419" i="3" l="1"/>
  <c r="D418" i="3" s="1"/>
  <c r="E418" i="3"/>
  <c r="F418" i="3"/>
  <c r="G418" i="3"/>
  <c r="H418" i="3"/>
  <c r="I418" i="3"/>
  <c r="J418" i="3"/>
  <c r="K418" i="3"/>
  <c r="C418" i="3"/>
  <c r="D84" i="20" l="1"/>
  <c r="H416" i="3" l="1"/>
  <c r="H413" i="3"/>
  <c r="D28" i="8" l="1"/>
  <c r="H192" i="13" l="1"/>
  <c r="H166" i="13"/>
  <c r="H158" i="13"/>
  <c r="H150" i="13"/>
  <c r="H184" i="13"/>
  <c r="H175" i="13"/>
  <c r="H142" i="13"/>
  <c r="H122" i="13"/>
  <c r="H112" i="13"/>
  <c r="H54" i="13"/>
  <c r="I41" i="13"/>
  <c r="H46" i="13"/>
  <c r="H12" i="13"/>
  <c r="H133" i="1"/>
  <c r="H22" i="3" l="1"/>
  <c r="D22" i="3" l="1"/>
  <c r="K24" i="3" l="1"/>
  <c r="J24" i="3"/>
  <c r="I24" i="3"/>
  <c r="K10" i="3"/>
  <c r="J10" i="3"/>
  <c r="I10" i="3"/>
  <c r="J7" i="3"/>
  <c r="K7" i="3"/>
  <c r="I7" i="3"/>
  <c r="H434" i="3"/>
  <c r="H431" i="3"/>
  <c r="H428" i="3"/>
  <c r="H424" i="3"/>
  <c r="H417" i="3"/>
  <c r="H414" i="3"/>
  <c r="H406" i="3"/>
  <c r="H402" i="3"/>
  <c r="H399" i="3"/>
  <c r="H397" i="3" s="1"/>
  <c r="H393" i="3"/>
  <c r="H390" i="3"/>
  <c r="H387" i="3"/>
  <c r="H381" i="3"/>
  <c r="H367" i="3"/>
  <c r="H364" i="3"/>
  <c r="H361" i="3"/>
  <c r="H351" i="3"/>
  <c r="H347" i="3"/>
  <c r="H339" i="3"/>
  <c r="H335" i="3"/>
  <c r="H95" i="3"/>
  <c r="H91" i="3"/>
  <c r="H73" i="3"/>
  <c r="H76" i="3"/>
  <c r="H70" i="3"/>
  <c r="H61" i="3"/>
  <c r="H58" i="3"/>
  <c r="H54" i="3"/>
  <c r="H50" i="3"/>
  <c r="H47" i="3"/>
  <c r="H44" i="3"/>
  <c r="H41" i="3"/>
  <c r="H37" i="3"/>
  <c r="H34" i="3"/>
  <c r="H26" i="3"/>
  <c r="H23" i="3"/>
  <c r="H20" i="3"/>
  <c r="H16" i="3"/>
  <c r="H12" i="3"/>
  <c r="H9" i="3"/>
  <c r="H142" i="1"/>
  <c r="H60" i="8"/>
  <c r="H31" i="20"/>
  <c r="H28" i="20"/>
  <c r="H189" i="13"/>
  <c r="H163" i="13"/>
  <c r="H155" i="13"/>
  <c r="H147" i="13"/>
  <c r="H181" i="13"/>
  <c r="H172" i="13"/>
  <c r="H24" i="3" l="1"/>
  <c r="D8" i="18"/>
  <c r="D122" i="18"/>
  <c r="D15" i="18"/>
  <c r="D413" i="3" l="1"/>
  <c r="D416" i="3"/>
  <c r="H412" i="3"/>
  <c r="I412" i="3"/>
  <c r="J412" i="3"/>
  <c r="K412" i="3"/>
  <c r="C412" i="3"/>
  <c r="H415" i="3"/>
  <c r="I415" i="3"/>
  <c r="J415" i="3"/>
  <c r="K415" i="3"/>
  <c r="C415" i="3"/>
  <c r="H436" i="3" l="1"/>
  <c r="H326" i="3"/>
  <c r="K89" i="3" l="1"/>
  <c r="J89" i="3"/>
  <c r="I89" i="3"/>
  <c r="C89" i="3"/>
  <c r="K74" i="3"/>
  <c r="J74" i="3"/>
  <c r="I74" i="3"/>
  <c r="C74" i="3"/>
  <c r="K68" i="3"/>
  <c r="J68" i="3"/>
  <c r="I68" i="3"/>
  <c r="C68" i="3"/>
  <c r="K59" i="3"/>
  <c r="J59" i="3"/>
  <c r="I59" i="3"/>
  <c r="C59" i="3"/>
  <c r="K48" i="3"/>
  <c r="J48" i="3"/>
  <c r="I48" i="3"/>
  <c r="C48" i="3"/>
  <c r="K45" i="3"/>
  <c r="J45" i="3"/>
  <c r="I45" i="3"/>
  <c r="C45" i="3"/>
  <c r="K42" i="3"/>
  <c r="J42" i="3"/>
  <c r="I42" i="3"/>
  <c r="C42" i="3"/>
  <c r="K35" i="3"/>
  <c r="J35" i="3"/>
  <c r="I35" i="3"/>
  <c r="C35" i="3"/>
  <c r="K32" i="3"/>
  <c r="J32" i="3"/>
  <c r="I32" i="3"/>
  <c r="C32" i="3"/>
  <c r="C24" i="3"/>
  <c r="K580" i="3"/>
  <c r="J580" i="3"/>
  <c r="I580" i="3"/>
  <c r="H580" i="3"/>
  <c r="C580" i="3"/>
  <c r="K521" i="3"/>
  <c r="J521" i="3"/>
  <c r="I521" i="3"/>
  <c r="G521" i="3"/>
  <c r="F521" i="3"/>
  <c r="E521" i="3"/>
  <c r="C521" i="3"/>
  <c r="K517" i="3"/>
  <c r="J517" i="3"/>
  <c r="I517" i="3"/>
  <c r="G517" i="3"/>
  <c r="F517" i="3"/>
  <c r="E517" i="3"/>
  <c r="C517" i="3"/>
  <c r="K513" i="3"/>
  <c r="J513" i="3"/>
  <c r="I513" i="3"/>
  <c r="G513" i="3"/>
  <c r="F513" i="3"/>
  <c r="E513" i="3"/>
  <c r="C513" i="3"/>
  <c r="K509" i="3"/>
  <c r="J509" i="3"/>
  <c r="I509" i="3"/>
  <c r="G509" i="3"/>
  <c r="F509" i="3"/>
  <c r="E509" i="3"/>
  <c r="C509" i="3"/>
  <c r="K505" i="3"/>
  <c r="J505" i="3"/>
  <c r="I505" i="3"/>
  <c r="G505" i="3"/>
  <c r="F505" i="3"/>
  <c r="E505" i="3"/>
  <c r="C505" i="3"/>
  <c r="K498" i="3"/>
  <c r="J498" i="3"/>
  <c r="I498" i="3"/>
  <c r="G498" i="3"/>
  <c r="F498" i="3"/>
  <c r="E498" i="3"/>
  <c r="C498" i="3"/>
  <c r="K494" i="3"/>
  <c r="J494" i="3"/>
  <c r="I494" i="3"/>
  <c r="G494" i="3"/>
  <c r="F494" i="3"/>
  <c r="E494" i="3"/>
  <c r="C494" i="3"/>
  <c r="K490" i="3"/>
  <c r="J490" i="3"/>
  <c r="I490" i="3"/>
  <c r="G490" i="3"/>
  <c r="F490" i="3"/>
  <c r="E490" i="3"/>
  <c r="C490" i="3"/>
  <c r="K486" i="3"/>
  <c r="J486" i="3"/>
  <c r="I486" i="3"/>
  <c r="G486" i="3"/>
  <c r="F486" i="3"/>
  <c r="E486" i="3"/>
  <c r="C486" i="3"/>
  <c r="K438" i="3"/>
  <c r="J438" i="3"/>
  <c r="I438" i="3"/>
  <c r="G438" i="3"/>
  <c r="F438" i="3"/>
  <c r="E438" i="3"/>
  <c r="C438" i="3"/>
  <c r="K340" i="3"/>
  <c r="J340" i="3"/>
  <c r="I340" i="3"/>
  <c r="G340" i="3"/>
  <c r="F340" i="3"/>
  <c r="E340" i="3"/>
  <c r="C340" i="3"/>
  <c r="K328" i="3"/>
  <c r="J328" i="3"/>
  <c r="I328" i="3"/>
  <c r="G328" i="3"/>
  <c r="F328" i="3"/>
  <c r="E328" i="3"/>
  <c r="C328" i="3"/>
  <c r="K321" i="3"/>
  <c r="J321" i="3"/>
  <c r="I321" i="3"/>
  <c r="G321" i="3"/>
  <c r="F321" i="3"/>
  <c r="E321" i="3"/>
  <c r="C321" i="3"/>
  <c r="K317" i="3"/>
  <c r="J317" i="3"/>
  <c r="I317" i="3"/>
  <c r="G317" i="3"/>
  <c r="F317" i="3"/>
  <c r="E317" i="3"/>
  <c r="C317" i="3"/>
  <c r="K308" i="3"/>
  <c r="J308" i="3"/>
  <c r="I308" i="3"/>
  <c r="G308" i="3"/>
  <c r="F308" i="3"/>
  <c r="E308" i="3"/>
  <c r="C308" i="3"/>
  <c r="K304" i="3"/>
  <c r="J304" i="3"/>
  <c r="I304" i="3"/>
  <c r="G304" i="3"/>
  <c r="F304" i="3"/>
  <c r="E304" i="3"/>
  <c r="C304" i="3"/>
  <c r="K300" i="3"/>
  <c r="J300" i="3"/>
  <c r="I300" i="3"/>
  <c r="G300" i="3"/>
  <c r="F300" i="3"/>
  <c r="E300" i="3"/>
  <c r="C300" i="3"/>
  <c r="K296" i="3"/>
  <c r="J296" i="3"/>
  <c r="I296" i="3"/>
  <c r="G296" i="3"/>
  <c r="F296" i="3"/>
  <c r="E296" i="3"/>
  <c r="C296" i="3"/>
  <c r="K292" i="3"/>
  <c r="J292" i="3"/>
  <c r="I292" i="3"/>
  <c r="G292" i="3"/>
  <c r="F292" i="3"/>
  <c r="E292" i="3"/>
  <c r="C292" i="3"/>
  <c r="K285" i="3"/>
  <c r="J285" i="3"/>
  <c r="I285" i="3"/>
  <c r="G285" i="3"/>
  <c r="F285" i="3"/>
  <c r="E285" i="3"/>
  <c r="C285" i="3"/>
  <c r="K281" i="3"/>
  <c r="J281" i="3"/>
  <c r="I281" i="3"/>
  <c r="G281" i="3"/>
  <c r="F281" i="3"/>
  <c r="E281" i="3"/>
  <c r="C281" i="3"/>
  <c r="K274" i="3"/>
  <c r="J274" i="3"/>
  <c r="I274" i="3"/>
  <c r="G274" i="3"/>
  <c r="F274" i="3"/>
  <c r="E274" i="3"/>
  <c r="C274" i="3"/>
  <c r="K270" i="3"/>
  <c r="J270" i="3"/>
  <c r="I270" i="3"/>
  <c r="G270" i="3"/>
  <c r="F270" i="3"/>
  <c r="E270" i="3"/>
  <c r="C270" i="3"/>
  <c r="K266" i="3"/>
  <c r="J266" i="3"/>
  <c r="I266" i="3"/>
  <c r="G266" i="3"/>
  <c r="F266" i="3"/>
  <c r="E266" i="3"/>
  <c r="C266" i="3"/>
  <c r="K262" i="3"/>
  <c r="J262" i="3"/>
  <c r="I262" i="3"/>
  <c r="G262" i="3"/>
  <c r="F262" i="3"/>
  <c r="E262" i="3"/>
  <c r="C262" i="3"/>
  <c r="K258" i="3"/>
  <c r="J258" i="3"/>
  <c r="I258" i="3"/>
  <c r="G258" i="3"/>
  <c r="F258" i="3"/>
  <c r="E258" i="3"/>
  <c r="C258" i="3"/>
  <c r="K254" i="3"/>
  <c r="J254" i="3"/>
  <c r="I254" i="3"/>
  <c r="G254" i="3"/>
  <c r="F254" i="3"/>
  <c r="E254" i="3"/>
  <c r="C254" i="3"/>
  <c r="K250" i="3"/>
  <c r="J250" i="3"/>
  <c r="I250" i="3"/>
  <c r="G250" i="3"/>
  <c r="F250" i="3"/>
  <c r="E250" i="3"/>
  <c r="C250" i="3"/>
  <c r="K238" i="3"/>
  <c r="J238" i="3"/>
  <c r="I238" i="3"/>
  <c r="G238" i="3"/>
  <c r="F238" i="3"/>
  <c r="E238" i="3"/>
  <c r="C238" i="3"/>
  <c r="K230" i="3"/>
  <c r="J230" i="3"/>
  <c r="I230" i="3"/>
  <c r="G230" i="3"/>
  <c r="F230" i="3"/>
  <c r="E230" i="3"/>
  <c r="C230" i="3"/>
  <c r="K223" i="3"/>
  <c r="J223" i="3"/>
  <c r="I223" i="3"/>
  <c r="G223" i="3"/>
  <c r="F223" i="3"/>
  <c r="E223" i="3"/>
  <c r="C223" i="3"/>
  <c r="K219" i="3"/>
  <c r="J219" i="3"/>
  <c r="I219" i="3"/>
  <c r="G219" i="3"/>
  <c r="F219" i="3"/>
  <c r="E219" i="3"/>
  <c r="C219" i="3"/>
  <c r="K212" i="3"/>
  <c r="J212" i="3"/>
  <c r="I212" i="3"/>
  <c r="G212" i="3"/>
  <c r="F212" i="3"/>
  <c r="E212" i="3"/>
  <c r="C212" i="3"/>
  <c r="K208" i="3"/>
  <c r="J208" i="3"/>
  <c r="I208" i="3"/>
  <c r="G208" i="3"/>
  <c r="F208" i="3"/>
  <c r="E208" i="3"/>
  <c r="C208" i="3"/>
  <c r="K195" i="3"/>
  <c r="J195" i="3"/>
  <c r="I195" i="3"/>
  <c r="G195" i="3"/>
  <c r="F195" i="3"/>
  <c r="E195" i="3"/>
  <c r="C195" i="3"/>
  <c r="K171" i="3"/>
  <c r="J171" i="3"/>
  <c r="I171" i="3"/>
  <c r="G171" i="3"/>
  <c r="F171" i="3"/>
  <c r="E171" i="3"/>
  <c r="C171" i="3"/>
  <c r="K185" i="3"/>
  <c r="J185" i="3"/>
  <c r="I185" i="3"/>
  <c r="G185" i="3"/>
  <c r="F185" i="3"/>
  <c r="E185" i="3"/>
  <c r="C185" i="3"/>
  <c r="K143" i="3"/>
  <c r="J143" i="3"/>
  <c r="I143" i="3"/>
  <c r="G143" i="3"/>
  <c r="F143" i="3"/>
  <c r="E143" i="3"/>
  <c r="C143" i="3"/>
  <c r="K150" i="3"/>
  <c r="J150" i="3"/>
  <c r="I150" i="3"/>
  <c r="G150" i="3"/>
  <c r="F150" i="3"/>
  <c r="E150" i="3"/>
  <c r="C150" i="3"/>
  <c r="K121" i="3"/>
  <c r="J121" i="3"/>
  <c r="I121" i="3"/>
  <c r="G121" i="3"/>
  <c r="F121" i="3"/>
  <c r="E121" i="3"/>
  <c r="C121" i="3"/>
  <c r="K92" i="3"/>
  <c r="J92" i="3"/>
  <c r="I92" i="3"/>
  <c r="C92" i="3"/>
  <c r="K55" i="3"/>
  <c r="J55" i="3"/>
  <c r="I55" i="3"/>
  <c r="C55" i="3"/>
  <c r="K51" i="3"/>
  <c r="J51" i="3"/>
  <c r="I51" i="3"/>
  <c r="C51" i="3"/>
  <c r="K38" i="3"/>
  <c r="J38" i="3"/>
  <c r="I38" i="3"/>
  <c r="C38" i="3"/>
  <c r="D448" i="3" l="1"/>
  <c r="D490" i="3"/>
  <c r="H505" i="3"/>
  <c r="D513" i="3"/>
  <c r="H521" i="3"/>
  <c r="H321" i="3"/>
  <c r="D258" i="3"/>
  <c r="H308" i="3"/>
  <c r="D486" i="3"/>
  <c r="D208" i="3"/>
  <c r="D274" i="3"/>
  <c r="D321" i="3"/>
  <c r="H266" i="3"/>
  <c r="D270" i="3"/>
  <c r="D292" i="3"/>
  <c r="D171" i="3"/>
  <c r="H171" i="3"/>
  <c r="H219" i="3"/>
  <c r="D266" i="3"/>
  <c r="D505" i="3"/>
  <c r="D521" i="3"/>
  <c r="H42" i="3"/>
  <c r="H48" i="3"/>
  <c r="H59" i="3"/>
  <c r="H68" i="3"/>
  <c r="H74" i="3"/>
  <c r="H230" i="3"/>
  <c r="D262" i="3"/>
  <c r="H296" i="3"/>
  <c r="D300" i="3"/>
  <c r="H317" i="3"/>
  <c r="H438" i="3"/>
  <c r="D517" i="3"/>
  <c r="H143" i="3"/>
  <c r="H208" i="3"/>
  <c r="H212" i="3"/>
  <c r="H223" i="3"/>
  <c r="D296" i="3"/>
  <c r="D438" i="3"/>
  <c r="D150" i="3"/>
  <c r="D143" i="3"/>
  <c r="D195" i="3"/>
  <c r="D212" i="3"/>
  <c r="D219" i="3"/>
  <c r="H238" i="3"/>
  <c r="H250" i="3"/>
  <c r="H254" i="3"/>
  <c r="H262" i="3"/>
  <c r="H270" i="3"/>
  <c r="H274" i="3"/>
  <c r="H292" i="3"/>
  <c r="H300" i="3"/>
  <c r="D308" i="3"/>
  <c r="H340" i="3"/>
  <c r="D368" i="3"/>
  <c r="H448" i="3"/>
  <c r="H490" i="3"/>
  <c r="H517" i="3"/>
  <c r="H38" i="3"/>
  <c r="H55" i="3"/>
  <c r="H92" i="3"/>
  <c r="D121" i="3"/>
  <c r="H121" i="3"/>
  <c r="D223" i="3"/>
  <c r="D230" i="3"/>
  <c r="H258" i="3"/>
  <c r="H281" i="3"/>
  <c r="D317" i="3"/>
  <c r="H486" i="3"/>
  <c r="H498" i="3"/>
  <c r="H509" i="3"/>
  <c r="H513" i="3"/>
  <c r="H71" i="3"/>
  <c r="H185" i="3"/>
  <c r="H195" i="3"/>
  <c r="D281" i="3"/>
  <c r="H304" i="3"/>
  <c r="D498" i="3"/>
  <c r="D509" i="3"/>
  <c r="D185" i="3"/>
  <c r="D238" i="3"/>
  <c r="D250" i="3"/>
  <c r="D254" i="3"/>
  <c r="H285" i="3"/>
  <c r="H494" i="3"/>
  <c r="D285" i="3"/>
  <c r="H328" i="3"/>
  <c r="D340" i="3"/>
  <c r="D494" i="3"/>
  <c r="H51" i="3"/>
  <c r="H150" i="3"/>
  <c r="D304" i="3"/>
  <c r="D328" i="3"/>
  <c r="H368" i="3"/>
  <c r="F56" i="19"/>
  <c r="F137" i="19" s="1"/>
  <c r="G56" i="19"/>
  <c r="G137" i="19" s="1"/>
  <c r="E56" i="19"/>
  <c r="E137" i="19" s="1"/>
  <c r="C56" i="19" l="1"/>
  <c r="C137" i="19" s="1"/>
  <c r="H15" i="8" l="1"/>
  <c r="H32" i="8"/>
  <c r="H35" i="8"/>
  <c r="H40" i="8"/>
  <c r="H43" i="8"/>
  <c r="H61" i="8"/>
  <c r="H64" i="8"/>
  <c r="H67" i="8"/>
  <c r="H70" i="8"/>
  <c r="H49" i="8"/>
  <c r="H46" i="8"/>
  <c r="H52" i="8"/>
  <c r="H23" i="8"/>
  <c r="H29" i="8"/>
  <c r="H8" i="7"/>
  <c r="H9" i="7"/>
  <c r="H10" i="7"/>
  <c r="H11" i="7"/>
  <c r="H119" i="19"/>
  <c r="H60" i="3"/>
  <c r="H95" i="8" l="1"/>
  <c r="C10" i="3"/>
  <c r="C7" i="3"/>
  <c r="J21" i="3"/>
  <c r="K21" i="3"/>
  <c r="I21" i="3"/>
  <c r="H21" i="3"/>
  <c r="C21" i="3"/>
  <c r="K17" i="3"/>
  <c r="J17" i="3"/>
  <c r="I17" i="3"/>
  <c r="H17" i="3"/>
  <c r="C17" i="3"/>
  <c r="K13" i="3"/>
  <c r="J13" i="3"/>
  <c r="I13" i="3"/>
  <c r="H13" i="3"/>
  <c r="C13" i="3"/>
  <c r="F95" i="3" l="1"/>
  <c r="F92" i="3" s="1"/>
  <c r="E95" i="3"/>
  <c r="E92" i="3" s="1"/>
  <c r="E91" i="3"/>
  <c r="F91" i="3"/>
  <c r="E76" i="3"/>
  <c r="F76" i="3"/>
  <c r="F73" i="3"/>
  <c r="F71" i="3" s="1"/>
  <c r="E73" i="3"/>
  <c r="E71" i="3" s="1"/>
  <c r="F70" i="3"/>
  <c r="E70" i="3"/>
  <c r="F61" i="3"/>
  <c r="E61" i="3"/>
  <c r="F58" i="3"/>
  <c r="F55" i="3" s="1"/>
  <c r="E58" i="3"/>
  <c r="E55" i="3" s="1"/>
  <c r="F54" i="3"/>
  <c r="F51" i="3" s="1"/>
  <c r="E54" i="3"/>
  <c r="E51" i="3" s="1"/>
  <c r="E50" i="3"/>
  <c r="F50" i="3"/>
  <c r="E47" i="3"/>
  <c r="F47" i="3"/>
  <c r="E44" i="3"/>
  <c r="F44" i="3"/>
  <c r="E41" i="3"/>
  <c r="E38" i="3" s="1"/>
  <c r="F41" i="3"/>
  <c r="F38" i="3" s="1"/>
  <c r="E37" i="3"/>
  <c r="F37" i="3"/>
  <c r="E34" i="3"/>
  <c r="F34" i="3"/>
  <c r="E26" i="3"/>
  <c r="F26" i="3"/>
  <c r="F23" i="3"/>
  <c r="F21" i="3" s="1"/>
  <c r="E23" i="3"/>
  <c r="E21" i="3" s="1"/>
  <c r="F20" i="3"/>
  <c r="F17" i="3" s="1"/>
  <c r="E20" i="3"/>
  <c r="E16" i="3"/>
  <c r="F16" i="3"/>
  <c r="F13" i="3" s="1"/>
  <c r="E12" i="3"/>
  <c r="F12" i="3"/>
  <c r="G12" i="3" l="1"/>
  <c r="D12" i="3" s="1"/>
  <c r="G34" i="3"/>
  <c r="D34" i="3" s="1"/>
  <c r="G47" i="3"/>
  <c r="D47" i="3" s="1"/>
  <c r="G91" i="3"/>
  <c r="D91" i="3" s="1"/>
  <c r="G16" i="3"/>
  <c r="E13" i="3"/>
  <c r="G37" i="3"/>
  <c r="D37" i="3" s="1"/>
  <c r="G44" i="3"/>
  <c r="D44" i="3" s="1"/>
  <c r="G50" i="3"/>
  <c r="D50" i="3" s="1"/>
  <c r="G20" i="3"/>
  <c r="G17" i="3" s="1"/>
  <c r="E17" i="3"/>
  <c r="G95" i="3"/>
  <c r="G76" i="3"/>
  <c r="D76" i="3" s="1"/>
  <c r="G73" i="3"/>
  <c r="G71" i="3" s="1"/>
  <c r="G70" i="3"/>
  <c r="D70" i="3" s="1"/>
  <c r="G61" i="3"/>
  <c r="D61" i="3" s="1"/>
  <c r="G58" i="3"/>
  <c r="G54" i="3"/>
  <c r="G41" i="3"/>
  <c r="G26" i="3"/>
  <c r="D26" i="3" s="1"/>
  <c r="G23" i="3"/>
  <c r="D20" i="3" l="1"/>
  <c r="D17" i="3" s="1"/>
  <c r="D23" i="3"/>
  <c r="D21" i="3" s="1"/>
  <c r="G21" i="3"/>
  <c r="D41" i="3"/>
  <c r="G38" i="3"/>
  <c r="D38" i="3" s="1"/>
  <c r="D54" i="3"/>
  <c r="G51" i="3"/>
  <c r="D51" i="3" s="1"/>
  <c r="D73" i="3"/>
  <c r="D71" i="3"/>
  <c r="D58" i="3"/>
  <c r="G55" i="3"/>
  <c r="D55" i="3" s="1"/>
  <c r="D95" i="3"/>
  <c r="G92" i="3"/>
  <c r="D92" i="3" s="1"/>
  <c r="D16" i="3"/>
  <c r="D13" i="3" s="1"/>
  <c r="G13" i="3"/>
  <c r="D28" i="20"/>
  <c r="D31" i="20"/>
  <c r="E9" i="3" l="1"/>
  <c r="F9" i="3"/>
  <c r="G9" i="3" l="1"/>
  <c r="D9" i="3" s="1"/>
  <c r="F58" i="16"/>
  <c r="E58" i="16"/>
  <c r="G58" i="16" l="1"/>
  <c r="D58" i="16" s="1"/>
  <c r="K325" i="3"/>
  <c r="J325" i="3"/>
  <c r="I325" i="3"/>
  <c r="G325" i="3"/>
  <c r="F325" i="3"/>
  <c r="E325" i="3"/>
  <c r="C325" i="3"/>
  <c r="D325" i="3" l="1"/>
  <c r="H325" i="3"/>
  <c r="D326" i="3"/>
  <c r="H143" i="13" l="1"/>
  <c r="H125" i="13"/>
  <c r="H115" i="13"/>
  <c r="H69" i="3"/>
  <c r="F60" i="3" l="1"/>
  <c r="F59" i="3" s="1"/>
  <c r="E60" i="3"/>
  <c r="E59" i="3" s="1"/>
  <c r="G60" i="3" l="1"/>
  <c r="G59" i="3" s="1"/>
  <c r="D60" i="3" l="1"/>
  <c r="D59" i="3" s="1"/>
  <c r="K425" i="3"/>
  <c r="J425" i="3"/>
  <c r="I425" i="3"/>
  <c r="C425" i="3"/>
  <c r="K421" i="3"/>
  <c r="J421" i="3"/>
  <c r="I421" i="3"/>
  <c r="C421" i="3"/>
  <c r="K403" i="3"/>
  <c r="J403" i="3"/>
  <c r="I403" i="3"/>
  <c r="C403" i="3"/>
  <c r="K376" i="3"/>
  <c r="J376" i="3"/>
  <c r="I376" i="3"/>
  <c r="C376" i="3"/>
  <c r="K358" i="3"/>
  <c r="J358" i="3"/>
  <c r="I358" i="3"/>
  <c r="C358" i="3"/>
  <c r="K348" i="3"/>
  <c r="J348" i="3"/>
  <c r="I348" i="3"/>
  <c r="C348" i="3"/>
  <c r="K344" i="3"/>
  <c r="J344" i="3"/>
  <c r="I344" i="3"/>
  <c r="C344" i="3"/>
  <c r="K336" i="3"/>
  <c r="J336" i="3"/>
  <c r="I336" i="3"/>
  <c r="C336" i="3"/>
  <c r="K332" i="3"/>
  <c r="J332" i="3"/>
  <c r="I332" i="3"/>
  <c r="C332" i="3"/>
  <c r="K181" i="3"/>
  <c r="J181" i="3"/>
  <c r="I181" i="3"/>
  <c r="G181" i="3"/>
  <c r="F181" i="3"/>
  <c r="E181" i="3"/>
  <c r="C181" i="3"/>
  <c r="K177" i="3"/>
  <c r="J177" i="3"/>
  <c r="I177" i="3"/>
  <c r="G177" i="3"/>
  <c r="F177" i="3"/>
  <c r="E177" i="3"/>
  <c r="C177" i="3"/>
  <c r="K173" i="3"/>
  <c r="J173" i="3"/>
  <c r="I173" i="3"/>
  <c r="G173" i="3"/>
  <c r="F173" i="3"/>
  <c r="E173" i="3"/>
  <c r="C173" i="3"/>
  <c r="K167" i="3"/>
  <c r="J167" i="3"/>
  <c r="I167" i="3"/>
  <c r="G167" i="3"/>
  <c r="F167" i="3"/>
  <c r="E167" i="3"/>
  <c r="C167" i="3"/>
  <c r="K163" i="3"/>
  <c r="J163" i="3"/>
  <c r="I163" i="3"/>
  <c r="G163" i="3"/>
  <c r="F163" i="3"/>
  <c r="E163" i="3"/>
  <c r="C163" i="3"/>
  <c r="K139" i="3"/>
  <c r="J139" i="3"/>
  <c r="I139" i="3"/>
  <c r="G139" i="3"/>
  <c r="F139" i="3"/>
  <c r="E139" i="3"/>
  <c r="C139" i="3"/>
  <c r="K132" i="3"/>
  <c r="J132" i="3"/>
  <c r="I132" i="3"/>
  <c r="G132" i="3"/>
  <c r="F132" i="3"/>
  <c r="E132" i="3"/>
  <c r="C132" i="3"/>
  <c r="K128" i="3"/>
  <c r="J128" i="3"/>
  <c r="I128" i="3"/>
  <c r="G128" i="3"/>
  <c r="F128" i="3"/>
  <c r="E128" i="3"/>
  <c r="C128" i="3"/>
  <c r="K117" i="3"/>
  <c r="J117" i="3"/>
  <c r="I117" i="3"/>
  <c r="G117" i="3"/>
  <c r="F117" i="3"/>
  <c r="E117" i="3"/>
  <c r="C117" i="3"/>
  <c r="K109" i="3"/>
  <c r="J109" i="3"/>
  <c r="I109" i="3"/>
  <c r="G109" i="3"/>
  <c r="F109" i="3"/>
  <c r="E109" i="3"/>
  <c r="C109" i="3"/>
  <c r="K99" i="3"/>
  <c r="J99" i="3"/>
  <c r="I99" i="3"/>
  <c r="G99" i="3"/>
  <c r="F99" i="3"/>
  <c r="E99" i="3"/>
  <c r="C99" i="3"/>
  <c r="F436" i="3"/>
  <c r="E436" i="3"/>
  <c r="H163" i="3" l="1"/>
  <c r="H332" i="3"/>
  <c r="H421" i="3"/>
  <c r="H425" i="3"/>
  <c r="G436" i="3"/>
  <c r="D436" i="3" s="1"/>
  <c r="D117" i="3"/>
  <c r="H358" i="3"/>
  <c r="H376" i="3"/>
  <c r="H132" i="3"/>
  <c r="D139" i="3"/>
  <c r="H139" i="3"/>
  <c r="D173" i="3"/>
  <c r="H177" i="3"/>
  <c r="D181" i="3"/>
  <c r="H117" i="3"/>
  <c r="D128" i="3"/>
  <c r="H173" i="3"/>
  <c r="H181" i="3"/>
  <c r="H403" i="3"/>
  <c r="H99" i="3"/>
  <c r="H109" i="3"/>
  <c r="D167" i="3"/>
  <c r="D99" i="3"/>
  <c r="D132" i="3"/>
  <c r="D163" i="3"/>
  <c r="H336" i="3"/>
  <c r="H348" i="3"/>
  <c r="H128" i="3"/>
  <c r="H167" i="3"/>
  <c r="D109" i="3"/>
  <c r="D177" i="3"/>
  <c r="H344" i="3"/>
  <c r="D184" i="3"/>
  <c r="D180" i="3"/>
  <c r="D176" i="3"/>
  <c r="D170" i="3"/>
  <c r="D166" i="3"/>
  <c r="D162" i="3"/>
  <c r="D159" i="3"/>
  <c r="D156" i="3"/>
  <c r="D142" i="3"/>
  <c r="D135" i="3" l="1"/>
  <c r="D131" i="3"/>
  <c r="D120" i="3"/>
  <c r="D112" i="3"/>
  <c r="D108" i="3"/>
  <c r="D105" i="3"/>
  <c r="D102" i="3"/>
  <c r="D98" i="3"/>
  <c r="D96" i="3" s="1"/>
  <c r="D119" i="19" l="1"/>
  <c r="F434" i="3" l="1"/>
  <c r="E434" i="3"/>
  <c r="E431" i="3"/>
  <c r="F431" i="3"/>
  <c r="G434" i="3" l="1"/>
  <c r="D434" i="3" s="1"/>
  <c r="G431" i="3"/>
  <c r="D431" i="3" s="1"/>
  <c r="F428" i="3"/>
  <c r="F425" i="3" s="1"/>
  <c r="E428" i="3"/>
  <c r="E425" i="3" s="1"/>
  <c r="F424" i="3"/>
  <c r="F421" i="3" s="1"/>
  <c r="E424" i="3"/>
  <c r="E421" i="3" s="1"/>
  <c r="F417" i="3"/>
  <c r="F415" i="3" s="1"/>
  <c r="E417" i="3"/>
  <c r="E415" i="3" s="1"/>
  <c r="F414" i="3"/>
  <c r="F412" i="3" s="1"/>
  <c r="E414" i="3"/>
  <c r="E412" i="3" s="1"/>
  <c r="F406" i="3"/>
  <c r="F403" i="3" s="1"/>
  <c r="E406" i="3"/>
  <c r="E403" i="3" s="1"/>
  <c r="F402" i="3"/>
  <c r="E402" i="3"/>
  <c r="F399" i="3"/>
  <c r="F397" i="3" s="1"/>
  <c r="E399" i="3"/>
  <c r="E397" i="3" s="1"/>
  <c r="F393" i="3"/>
  <c r="E393" i="3"/>
  <c r="E390" i="3"/>
  <c r="F390" i="3"/>
  <c r="E387" i="3"/>
  <c r="F387" i="3"/>
  <c r="E381" i="3"/>
  <c r="F381" i="3"/>
  <c r="F376" i="3" s="1"/>
  <c r="F367" i="3"/>
  <c r="E367" i="3"/>
  <c r="E364" i="3"/>
  <c r="F364" i="3"/>
  <c r="F361" i="3"/>
  <c r="F358" i="3" s="1"/>
  <c r="E361" i="3"/>
  <c r="E358" i="3" s="1"/>
  <c r="F351" i="3"/>
  <c r="F348" i="3" s="1"/>
  <c r="E351" i="3"/>
  <c r="E348" i="3" s="1"/>
  <c r="F347" i="3"/>
  <c r="F344" i="3" s="1"/>
  <c r="E347" i="3"/>
  <c r="E344" i="3" s="1"/>
  <c r="G367" i="3" l="1"/>
  <c r="D367" i="3" s="1"/>
  <c r="G393" i="3"/>
  <c r="G402" i="3"/>
  <c r="D402" i="3" s="1"/>
  <c r="G381" i="3"/>
  <c r="E376" i="3"/>
  <c r="D393" i="3"/>
  <c r="G428" i="3"/>
  <c r="G424" i="3"/>
  <c r="G417" i="3"/>
  <c r="G415" i="3" s="1"/>
  <c r="G414" i="3"/>
  <c r="G412" i="3" s="1"/>
  <c r="G406" i="3"/>
  <c r="G399" i="3"/>
  <c r="G397" i="3" s="1"/>
  <c r="G390" i="3"/>
  <c r="D390" i="3" s="1"/>
  <c r="G387" i="3"/>
  <c r="D387" i="3" s="1"/>
  <c r="G364" i="3"/>
  <c r="D364" i="3" s="1"/>
  <c r="G361" i="3"/>
  <c r="G351" i="3"/>
  <c r="G347" i="3"/>
  <c r="H46" i="18"/>
  <c r="H37" i="18"/>
  <c r="D406" i="3" l="1"/>
  <c r="G403" i="3"/>
  <c r="D403" i="3" s="1"/>
  <c r="D428" i="3"/>
  <c r="G425" i="3"/>
  <c r="D425" i="3" s="1"/>
  <c r="D347" i="3"/>
  <c r="G344" i="3"/>
  <c r="D344" i="3" s="1"/>
  <c r="D414" i="3"/>
  <c r="D412" i="3" s="1"/>
  <c r="D417" i="3"/>
  <c r="D415" i="3" s="1"/>
  <c r="D351" i="3"/>
  <c r="G348" i="3"/>
  <c r="D348" i="3" s="1"/>
  <c r="D361" i="3"/>
  <c r="G358" i="3"/>
  <c r="D358" i="3" s="1"/>
  <c r="D399" i="3"/>
  <c r="D397" i="3" s="1"/>
  <c r="D424" i="3"/>
  <c r="G421" i="3"/>
  <c r="D421" i="3" s="1"/>
  <c r="D381" i="3"/>
  <c r="G376" i="3"/>
  <c r="D376" i="3" s="1"/>
  <c r="F339" i="3"/>
  <c r="F336" i="3" s="1"/>
  <c r="E339" i="3"/>
  <c r="E336" i="3" s="1"/>
  <c r="E335" i="3"/>
  <c r="F335" i="3"/>
  <c r="F332" i="3" l="1"/>
  <c r="F580" i="3"/>
  <c r="E332" i="3"/>
  <c r="E580" i="3"/>
  <c r="G339" i="3"/>
  <c r="D339" i="3" l="1"/>
  <c r="G336" i="3"/>
  <c r="D336" i="3" s="1"/>
  <c r="F69" i="3" l="1"/>
  <c r="F68" i="3" s="1"/>
  <c r="E69" i="3"/>
  <c r="E68" i="3" s="1"/>
  <c r="G69" i="3" l="1"/>
  <c r="G68" i="3" s="1"/>
  <c r="D69" i="3" l="1"/>
  <c r="D68" i="3" s="1"/>
  <c r="D11" i="7"/>
  <c r="D10" i="7"/>
  <c r="D9" i="7"/>
  <c r="D8" i="7"/>
  <c r="D60" i="8" l="1"/>
  <c r="H73" i="8" l="1"/>
  <c r="H74" i="8"/>
  <c r="H75" i="8"/>
  <c r="H72" i="8"/>
  <c r="H443" i="3" l="1"/>
  <c r="F75" i="8" l="1"/>
  <c r="E75" i="8"/>
  <c r="F74" i="8"/>
  <c r="E74" i="8"/>
  <c r="F73" i="8"/>
  <c r="E73" i="8"/>
  <c r="F72" i="8"/>
  <c r="E72" i="8"/>
  <c r="G72" i="8" l="1"/>
  <c r="D72" i="8" s="1"/>
  <c r="G73" i="8"/>
  <c r="D73" i="8" s="1"/>
  <c r="G75" i="8"/>
  <c r="D75" i="8" s="1"/>
  <c r="G74" i="8"/>
  <c r="D74" i="8" s="1"/>
  <c r="H8" i="13" l="1"/>
  <c r="H46" i="3" l="1"/>
  <c r="E49" i="8" l="1"/>
  <c r="E95" i="8" s="1"/>
  <c r="F49" i="8"/>
  <c r="F95" i="8" s="1"/>
  <c r="G49" i="8" l="1"/>
  <c r="G95" i="8" s="1"/>
  <c r="K137" i="5"/>
  <c r="J137" i="5"/>
  <c r="I137" i="5"/>
  <c r="C137" i="5"/>
  <c r="K136" i="5"/>
  <c r="J136" i="5"/>
  <c r="I136" i="5"/>
  <c r="C136" i="5"/>
  <c r="K135" i="5"/>
  <c r="J135" i="5"/>
  <c r="I135" i="5"/>
  <c r="C135" i="5"/>
  <c r="K134" i="5"/>
  <c r="J134" i="5"/>
  <c r="I134" i="5"/>
  <c r="C134" i="5"/>
  <c r="D202" i="13" l="1"/>
  <c r="H208" i="13"/>
  <c r="H206" i="13"/>
  <c r="H128" i="13"/>
  <c r="D128" i="13"/>
  <c r="H135" i="13"/>
  <c r="H132" i="13"/>
  <c r="D58" i="13"/>
  <c r="H62" i="13"/>
  <c r="D26" i="13"/>
  <c r="H30" i="13"/>
  <c r="D17" i="13"/>
  <c r="H21" i="13"/>
  <c r="F526" i="3" l="1"/>
  <c r="E526" i="3"/>
  <c r="G526" i="3" l="1"/>
  <c r="D526" i="3" s="1"/>
  <c r="H526" i="3"/>
  <c r="D63" i="13" l="1"/>
  <c r="S27" i="22"/>
  <c r="H475" i="3" l="1"/>
  <c r="D475" i="3"/>
  <c r="D73" i="13" l="1"/>
  <c r="D67" i="13"/>
  <c r="D14" i="13"/>
  <c r="D23" i="13"/>
  <c r="H50" i="13"/>
  <c r="D55" i="13"/>
  <c r="D31" i="13"/>
  <c r="H42" i="13"/>
  <c r="D47" i="13"/>
  <c r="D208" i="13"/>
  <c r="H188" i="13"/>
  <c r="D194" i="13"/>
  <c r="H180" i="13"/>
  <c r="H171" i="13"/>
  <c r="H162" i="13"/>
  <c r="H484" i="3" l="1"/>
  <c r="H481" i="3"/>
  <c r="H104" i="3"/>
  <c r="H126" i="20"/>
  <c r="H131" i="20"/>
  <c r="H104" i="19"/>
  <c r="H98" i="19"/>
  <c r="F43" i="5" l="1"/>
  <c r="E43" i="5"/>
  <c r="F42" i="5"/>
  <c r="E42" i="5"/>
  <c r="F41" i="5"/>
  <c r="E41" i="5"/>
  <c r="F40" i="5"/>
  <c r="E40" i="5"/>
  <c r="G40" i="5" l="1"/>
  <c r="G42" i="5"/>
  <c r="G41" i="5"/>
  <c r="G43" i="5"/>
  <c r="K39" i="5"/>
  <c r="J39" i="5"/>
  <c r="I39" i="5"/>
  <c r="F39" i="5"/>
  <c r="E39" i="5"/>
  <c r="C39" i="5"/>
  <c r="H40" i="5"/>
  <c r="D40" i="5"/>
  <c r="H43" i="5"/>
  <c r="H42" i="5"/>
  <c r="H41" i="5"/>
  <c r="G39" i="5" l="1"/>
  <c r="D41" i="5"/>
  <c r="H39" i="5"/>
  <c r="D42" i="5"/>
  <c r="D43" i="5"/>
  <c r="D39" i="5" l="1"/>
  <c r="H154" i="13"/>
  <c r="D143" i="13"/>
  <c r="D135" i="13"/>
  <c r="D125" i="13"/>
  <c r="D115" i="13"/>
  <c r="H107" i="3" l="1"/>
  <c r="K106" i="3" l="1"/>
  <c r="J106" i="3"/>
  <c r="I106" i="3"/>
  <c r="H106" i="3"/>
  <c r="C106" i="3"/>
  <c r="F107" i="3"/>
  <c r="F106" i="3" s="1"/>
  <c r="E107" i="3"/>
  <c r="E106" i="3" s="1"/>
  <c r="H45" i="3" l="1"/>
  <c r="G107" i="3"/>
  <c r="D107" i="3" s="1"/>
  <c r="D106" i="3" s="1"/>
  <c r="E46" i="3"/>
  <c r="E45" i="3" s="1"/>
  <c r="G106" i="3" l="1"/>
  <c r="F46" i="3"/>
  <c r="F45" i="3" s="1"/>
  <c r="G46" i="3" l="1"/>
  <c r="G45" i="3" s="1"/>
  <c r="G188" i="13"/>
  <c r="F188" i="13"/>
  <c r="E188" i="13"/>
  <c r="G180" i="13"/>
  <c r="F180" i="13"/>
  <c r="E180" i="13"/>
  <c r="G171" i="13"/>
  <c r="F171" i="13"/>
  <c r="E171" i="13"/>
  <c r="G162" i="13"/>
  <c r="F162" i="13"/>
  <c r="E162" i="13"/>
  <c r="G154" i="13"/>
  <c r="F154" i="13"/>
  <c r="E154" i="13"/>
  <c r="F50" i="13"/>
  <c r="E50" i="13"/>
  <c r="F42" i="13"/>
  <c r="E42" i="13"/>
  <c r="F8" i="13"/>
  <c r="E8" i="13"/>
  <c r="D46" i="3" l="1"/>
  <c r="D45" i="3"/>
  <c r="D126" i="20" l="1"/>
  <c r="D131" i="20"/>
  <c r="F484" i="3" l="1"/>
  <c r="E484" i="3"/>
  <c r="F481" i="3"/>
  <c r="E481" i="3"/>
  <c r="G481" i="3" l="1"/>
  <c r="D481" i="3" s="1"/>
  <c r="G484" i="3"/>
  <c r="D484" i="3" s="1"/>
  <c r="H23" i="19"/>
  <c r="H20" i="19"/>
  <c r="H48" i="8"/>
  <c r="F443" i="3" l="1"/>
  <c r="E443" i="3"/>
  <c r="G443" i="3" l="1"/>
  <c r="D443" i="3" s="1"/>
  <c r="D98" i="19" l="1"/>
  <c r="H478" i="3" l="1"/>
  <c r="H90" i="3" l="1"/>
  <c r="C57" i="1" l="1"/>
  <c r="H97" i="1" l="1"/>
  <c r="G97" i="1"/>
  <c r="D97" i="1" s="1"/>
  <c r="H103" i="3"/>
  <c r="I103" i="3"/>
  <c r="J103" i="3"/>
  <c r="K103" i="3"/>
  <c r="C103" i="3"/>
  <c r="F104" i="3" l="1"/>
  <c r="F103" i="3" s="1"/>
  <c r="E104" i="3"/>
  <c r="E103" i="3" s="1"/>
  <c r="G104" i="3" l="1"/>
  <c r="G103" i="3" s="1"/>
  <c r="H200" i="3"/>
  <c r="D104" i="3" l="1"/>
  <c r="D103" i="3" s="1"/>
  <c r="K205" i="3"/>
  <c r="J205" i="3"/>
  <c r="I205" i="3"/>
  <c r="C205" i="3"/>
  <c r="H206" i="3"/>
  <c r="H205" i="3" s="1"/>
  <c r="F206" i="3"/>
  <c r="F205" i="3" s="1"/>
  <c r="E206" i="3"/>
  <c r="E205" i="3" s="1"/>
  <c r="H203" i="3"/>
  <c r="H202" i="3" s="1"/>
  <c r="K202" i="3"/>
  <c r="J202" i="3"/>
  <c r="I202" i="3"/>
  <c r="C202" i="3"/>
  <c r="F203" i="3"/>
  <c r="F202" i="3" s="1"/>
  <c r="E203" i="3"/>
  <c r="G203" i="3" l="1"/>
  <c r="G202" i="3" s="1"/>
  <c r="G206" i="3"/>
  <c r="G205" i="3" s="1"/>
  <c r="E202" i="3"/>
  <c r="H545" i="3"/>
  <c r="F545" i="3"/>
  <c r="E545" i="3"/>
  <c r="D206" i="3" l="1"/>
  <c r="D205" i="3" s="1"/>
  <c r="D203" i="3"/>
  <c r="D202" i="3" s="1"/>
  <c r="G545" i="3"/>
  <c r="D545" i="3" s="1"/>
  <c r="D478" i="3"/>
  <c r="K227" i="3"/>
  <c r="J227" i="3"/>
  <c r="I227" i="3"/>
  <c r="G227" i="3"/>
  <c r="F227" i="3"/>
  <c r="E227" i="3"/>
  <c r="C227" i="3"/>
  <c r="H228" i="3"/>
  <c r="H227" i="3" s="1"/>
  <c r="D228" i="3"/>
  <c r="D227" i="3" s="1"/>
  <c r="H148" i="3" l="1"/>
  <c r="H392" i="3"/>
  <c r="H34" i="8"/>
  <c r="H31" i="8"/>
  <c r="D48" i="8" l="1"/>
  <c r="H45" i="8" l="1"/>
  <c r="D45" i="8"/>
  <c r="H389" i="3" l="1"/>
  <c r="H89" i="3" l="1"/>
  <c r="F90" i="3"/>
  <c r="F89" i="3" s="1"/>
  <c r="E90" i="3"/>
  <c r="E89" i="3" s="1"/>
  <c r="G90" i="3" l="1"/>
  <c r="G89" i="3" s="1"/>
  <c r="Q8" i="22"/>
  <c r="D89" i="3" l="1"/>
  <c r="D85" i="19"/>
  <c r="K147" i="3" l="1"/>
  <c r="J147" i="3"/>
  <c r="I147" i="3"/>
  <c r="C147" i="3"/>
  <c r="F148" i="3"/>
  <c r="E148" i="3"/>
  <c r="E147" i="3" s="1"/>
  <c r="G148" i="3" l="1"/>
  <c r="G147" i="3" s="1"/>
  <c r="H147" i="3"/>
  <c r="F147" i="3"/>
  <c r="H26" i="19"/>
  <c r="H17" i="19"/>
  <c r="D147" i="3" l="1"/>
  <c r="D148" i="3"/>
  <c r="F200" i="3"/>
  <c r="E200" i="3"/>
  <c r="G200" i="3" l="1"/>
  <c r="D200" i="3" s="1"/>
  <c r="D199" i="3" s="1"/>
  <c r="K199" i="3"/>
  <c r="J199" i="3"/>
  <c r="I199" i="3"/>
  <c r="H199" i="3"/>
  <c r="F199" i="3"/>
  <c r="E199" i="3"/>
  <c r="C199" i="3"/>
  <c r="G199" i="3" l="1"/>
  <c r="C221" i="13"/>
  <c r="K221" i="13"/>
  <c r="J221" i="13"/>
  <c r="I221" i="13"/>
  <c r="K219" i="13"/>
  <c r="J219" i="13"/>
  <c r="I219" i="13"/>
  <c r="K218" i="13"/>
  <c r="J218" i="13"/>
  <c r="I218" i="13"/>
  <c r="K217" i="13"/>
  <c r="J217" i="13"/>
  <c r="I217" i="13"/>
  <c r="F217" i="13"/>
  <c r="E217" i="13"/>
  <c r="K216" i="13"/>
  <c r="J216" i="13"/>
  <c r="I216" i="13"/>
  <c r="K215" i="13"/>
  <c r="J215" i="13"/>
  <c r="I215" i="13"/>
  <c r="K214" i="13"/>
  <c r="J214" i="13"/>
  <c r="I214" i="13"/>
  <c r="K213" i="13"/>
  <c r="J213" i="13"/>
  <c r="I213" i="13"/>
  <c r="K89" i="17" l="1"/>
  <c r="J89" i="17"/>
  <c r="I89" i="17"/>
  <c r="K86" i="17"/>
  <c r="J86" i="17"/>
  <c r="I86" i="17"/>
  <c r="K73" i="17"/>
  <c r="J73" i="17"/>
  <c r="I73" i="17"/>
  <c r="K119" i="20"/>
  <c r="J119" i="20"/>
  <c r="I119" i="20"/>
  <c r="G119" i="20"/>
  <c r="F119" i="20"/>
  <c r="E119" i="20"/>
  <c r="C119" i="20"/>
  <c r="C125" i="20"/>
  <c r="C156" i="20"/>
  <c r="K125" i="20"/>
  <c r="J125" i="20"/>
  <c r="I125" i="20"/>
  <c r="G125" i="20"/>
  <c r="F125" i="20"/>
  <c r="E125" i="20"/>
  <c r="D119" i="20" l="1"/>
  <c r="H119" i="20"/>
  <c r="H125" i="20"/>
  <c r="H73" i="17"/>
  <c r="H70" i="18"/>
  <c r="D70" i="18"/>
  <c r="H42" i="20"/>
  <c r="D42" i="20"/>
  <c r="H10" i="20"/>
  <c r="D10" i="20"/>
  <c r="H14" i="20"/>
  <c r="D14" i="20"/>
  <c r="H22" i="20"/>
  <c r="D22" i="20"/>
  <c r="H26" i="20"/>
  <c r="D26" i="20"/>
  <c r="H46" i="20"/>
  <c r="D46" i="20"/>
  <c r="H58" i="20"/>
  <c r="D58" i="20"/>
  <c r="H90" i="20"/>
  <c r="D90" i="20"/>
  <c r="H104" i="20"/>
  <c r="D104" i="20"/>
  <c r="H118" i="20"/>
  <c r="D118" i="20"/>
  <c r="H129" i="20"/>
  <c r="D129" i="20"/>
  <c r="H133" i="20"/>
  <c r="D133" i="20"/>
  <c r="H137" i="20"/>
  <c r="D137" i="20"/>
  <c r="H35" i="20"/>
  <c r="D35" i="20"/>
  <c r="D38" i="20"/>
  <c r="D62" i="20"/>
  <c r="D82" i="20"/>
  <c r="D85" i="20"/>
  <c r="D94" i="20"/>
  <c r="D98" i="20"/>
  <c r="D108" i="20"/>
  <c r="D112" i="20"/>
  <c r="D142" i="20"/>
  <c r="D143" i="20"/>
  <c r="D155" i="20" s="1"/>
  <c r="D144" i="20"/>
  <c r="D140" i="20"/>
  <c r="D29" i="20"/>
  <c r="D32" i="20"/>
  <c r="H54" i="20"/>
  <c r="D54" i="20"/>
  <c r="H66" i="20"/>
  <c r="D66" i="20"/>
  <c r="H86" i="5"/>
  <c r="H87" i="5"/>
  <c r="H88" i="5"/>
  <c r="H89" i="5"/>
  <c r="H80" i="5"/>
  <c r="H81" i="5"/>
  <c r="H82" i="5"/>
  <c r="H83" i="5"/>
  <c r="H24" i="11"/>
  <c r="H74" i="17"/>
  <c r="H75" i="17"/>
  <c r="H76" i="17"/>
  <c r="H77" i="17"/>
  <c r="H236" i="3" l="1"/>
  <c r="F34" i="8" l="1"/>
  <c r="F31" i="8"/>
  <c r="E34" i="8"/>
  <c r="E31" i="8"/>
  <c r="G31" i="8" l="1"/>
  <c r="D31" i="8" s="1"/>
  <c r="G34" i="8"/>
  <c r="D34" i="8" s="1"/>
  <c r="H92" i="2"/>
  <c r="D237" i="3" l="1"/>
  <c r="F236" i="3"/>
  <c r="F235" i="3" s="1"/>
  <c r="E236" i="3"/>
  <c r="E235" i="3" s="1"/>
  <c r="K235" i="3"/>
  <c r="J235" i="3"/>
  <c r="I235" i="3"/>
  <c r="C235" i="3"/>
  <c r="H235" i="3" l="1"/>
  <c r="G236" i="3"/>
  <c r="G235" i="3" s="1"/>
  <c r="D235" i="3" s="1"/>
  <c r="D236" i="3" l="1"/>
  <c r="E40" i="14" l="1"/>
  <c r="E31" i="14"/>
  <c r="D89" i="5" l="1"/>
  <c r="D88" i="5"/>
  <c r="D87" i="5"/>
  <c r="D86" i="5"/>
  <c r="D82" i="5"/>
  <c r="D81" i="5"/>
  <c r="D80" i="5"/>
  <c r="D83" i="5"/>
  <c r="G85" i="5"/>
  <c r="K85" i="5"/>
  <c r="J85" i="5"/>
  <c r="I85" i="5"/>
  <c r="F85" i="5"/>
  <c r="E85" i="5"/>
  <c r="C85" i="5"/>
  <c r="H85" i="5" l="1"/>
  <c r="D85" i="5"/>
  <c r="E28" i="11"/>
  <c r="F28" i="11"/>
  <c r="D24" i="11"/>
  <c r="G28" i="11" l="1"/>
  <c r="D94" i="13"/>
  <c r="Y25" i="4" l="1"/>
  <c r="Z25" i="4" s="1"/>
  <c r="Y24" i="4"/>
  <c r="Z24" i="4" s="1"/>
  <c r="Y23" i="4"/>
  <c r="Z23" i="4" s="1"/>
  <c r="Y22" i="4"/>
  <c r="Z22" i="4" s="1"/>
  <c r="Y21" i="4"/>
  <c r="Z21" i="4" s="1"/>
  <c r="Y20" i="4"/>
  <c r="Z20" i="4" s="1"/>
  <c r="Y19" i="4"/>
  <c r="Z19" i="4" s="1"/>
  <c r="Y18" i="4"/>
  <c r="Z18" i="4" s="1"/>
  <c r="Y17" i="4"/>
  <c r="Z17" i="4" s="1"/>
  <c r="Y16" i="4"/>
  <c r="Z16" i="4" s="1"/>
  <c r="Y15" i="4"/>
  <c r="Z15" i="4" s="1"/>
  <c r="Y14" i="4"/>
  <c r="Z14" i="4" s="1"/>
  <c r="Y13" i="4"/>
  <c r="Z13" i="4" s="1"/>
  <c r="Y12" i="4"/>
  <c r="Z12" i="4" s="1"/>
  <c r="Y11" i="4"/>
  <c r="Z11" i="4" s="1"/>
  <c r="Y10" i="4"/>
  <c r="Z10" i="4" s="1"/>
  <c r="Y9" i="4"/>
  <c r="Y8" i="4"/>
  <c r="Z8" i="4" s="1"/>
  <c r="Y7" i="4"/>
  <c r="Z7" i="4" s="1"/>
  <c r="Y6" i="4"/>
  <c r="Z6" i="4" s="1"/>
  <c r="X26" i="4"/>
  <c r="V26" i="4"/>
  <c r="U26" i="4"/>
  <c r="Y26" i="4" l="1"/>
  <c r="Z9" i="4"/>
  <c r="Z26" i="4" s="1"/>
  <c r="F392" i="3" l="1"/>
  <c r="F391" i="3" s="1"/>
  <c r="K391" i="3"/>
  <c r="J391" i="3"/>
  <c r="I391" i="3"/>
  <c r="C391" i="3"/>
  <c r="E392" i="3"/>
  <c r="E391" i="3" s="1"/>
  <c r="H391" i="3" l="1"/>
  <c r="G392" i="3"/>
  <c r="G391" i="3" s="1"/>
  <c r="D391" i="3" s="1"/>
  <c r="D392" i="3" l="1"/>
  <c r="K102" i="14"/>
  <c r="J102" i="14"/>
  <c r="I102" i="14"/>
  <c r="K101" i="14"/>
  <c r="J101" i="14"/>
  <c r="I101" i="14"/>
  <c r="C101" i="14"/>
  <c r="C102" i="14"/>
  <c r="H86" i="14"/>
  <c r="F86" i="14"/>
  <c r="E86" i="14"/>
  <c r="H80" i="14"/>
  <c r="F80" i="14"/>
  <c r="E80" i="14"/>
  <c r="G80" i="14" l="1"/>
  <c r="D80" i="14" s="1"/>
  <c r="G86" i="14"/>
  <c r="D86" i="14" s="1"/>
  <c r="F389" i="3" l="1"/>
  <c r="F388" i="3" s="1"/>
  <c r="E389" i="3"/>
  <c r="E388" i="3" s="1"/>
  <c r="K388" i="3"/>
  <c r="J388" i="3"/>
  <c r="I388" i="3"/>
  <c r="C388" i="3"/>
  <c r="H388" i="3" l="1"/>
  <c r="G389" i="3"/>
  <c r="G388" i="3" s="1"/>
  <c r="D388" i="3" s="1"/>
  <c r="D389" i="3" l="1"/>
  <c r="C89" i="17"/>
  <c r="D77" i="17"/>
  <c r="D76" i="17"/>
  <c r="D75" i="17"/>
  <c r="D74" i="17"/>
  <c r="D16" i="17"/>
  <c r="D15" i="17"/>
  <c r="D14" i="17"/>
  <c r="H137" i="3" l="1"/>
  <c r="C86" i="17" l="1"/>
  <c r="G73" i="17"/>
  <c r="F73" i="17"/>
  <c r="E73" i="17"/>
  <c r="C73" i="17"/>
  <c r="K134" i="18" l="1"/>
  <c r="J134" i="18"/>
  <c r="I134" i="18"/>
  <c r="K132" i="18"/>
  <c r="J132" i="18"/>
  <c r="I132" i="18"/>
  <c r="K131" i="18"/>
  <c r="J131" i="18"/>
  <c r="I131" i="18"/>
  <c r="K130" i="18"/>
  <c r="J130" i="18"/>
  <c r="I130" i="18"/>
  <c r="K129" i="18"/>
  <c r="J129" i="18"/>
  <c r="I129" i="18"/>
  <c r="K128" i="18"/>
  <c r="J128" i="18"/>
  <c r="I128" i="18"/>
  <c r="K127" i="18"/>
  <c r="J127" i="18"/>
  <c r="I127" i="18"/>
  <c r="I135" i="18" l="1"/>
  <c r="J135" i="18"/>
  <c r="K135" i="18"/>
  <c r="K91" i="17"/>
  <c r="J91" i="17"/>
  <c r="I91" i="17"/>
  <c r="H91" i="17"/>
  <c r="G91" i="17"/>
  <c r="F91" i="17"/>
  <c r="E91" i="17"/>
  <c r="D91" i="17"/>
  <c r="C91" i="17"/>
  <c r="D189" i="13" l="1"/>
  <c r="F26" i="19" l="1"/>
  <c r="E26" i="19"/>
  <c r="G26" i="19" l="1"/>
  <c r="D26" i="19" s="1"/>
  <c r="E17" i="19"/>
  <c r="F17" i="19"/>
  <c r="G17" i="19" l="1"/>
  <c r="D17" i="19" s="1"/>
  <c r="K136" i="3" l="1"/>
  <c r="J136" i="3"/>
  <c r="I136" i="3"/>
  <c r="H136" i="3" l="1"/>
  <c r="C137" i="3"/>
  <c r="C136" i="3" s="1"/>
  <c r="F137" i="3" l="1"/>
  <c r="F136" i="3" s="1"/>
  <c r="E137" i="3"/>
  <c r="H63" i="18"/>
  <c r="H55" i="18"/>
  <c r="H14" i="11"/>
  <c r="H34" i="11"/>
  <c r="H131" i="18" l="1"/>
  <c r="G137" i="3"/>
  <c r="G136" i="3" s="1"/>
  <c r="E136" i="3"/>
  <c r="C23" i="19"/>
  <c r="D136" i="3" l="1"/>
  <c r="D137" i="3"/>
  <c r="D23" i="19"/>
  <c r="D20" i="19" l="1"/>
  <c r="C20" i="19" l="1"/>
  <c r="C103" i="14" l="1"/>
  <c r="I103" i="14"/>
  <c r="J103" i="14"/>
  <c r="K103" i="14"/>
  <c r="C100" i="14"/>
  <c r="G206" i="13" l="1"/>
  <c r="G192" i="13"/>
  <c r="G166" i="13"/>
  <c r="G158" i="13" l="1"/>
  <c r="G150" i="13"/>
  <c r="G184" i="13"/>
  <c r="G175" i="13"/>
  <c r="G142" i="13"/>
  <c r="H138" i="13"/>
  <c r="G132" i="13"/>
  <c r="G122" i="13"/>
  <c r="H118" i="13"/>
  <c r="G112" i="13"/>
  <c r="H108" i="13"/>
  <c r="G62" i="13"/>
  <c r="G21" i="13"/>
  <c r="G54" i="13"/>
  <c r="G30" i="13"/>
  <c r="G46" i="13"/>
  <c r="G12" i="13" l="1"/>
  <c r="G217" i="13" s="1"/>
  <c r="D192" i="13" l="1"/>
  <c r="D166" i="13"/>
  <c r="D158" i="13"/>
  <c r="D150" i="13"/>
  <c r="D184" i="13"/>
  <c r="D175" i="13"/>
  <c r="D62" i="13"/>
  <c r="D21" i="13"/>
  <c r="D54" i="13"/>
  <c r="D30" i="13"/>
  <c r="D46" i="13"/>
  <c r="D12" i="13"/>
  <c r="D206" i="13" l="1"/>
  <c r="D142" i="13"/>
  <c r="D132" i="13"/>
  <c r="D122" i="13"/>
  <c r="D112" i="13"/>
  <c r="D217" i="13" l="1"/>
  <c r="K93" i="18"/>
  <c r="J93" i="18"/>
  <c r="I93" i="18"/>
  <c r="I48" i="14"/>
  <c r="I41" i="14"/>
  <c r="J47" i="21"/>
  <c r="K47" i="21"/>
  <c r="I47" i="21"/>
  <c r="H50" i="21"/>
  <c r="I43" i="21"/>
  <c r="K43" i="21"/>
  <c r="J43" i="21"/>
  <c r="H46" i="21"/>
  <c r="J35" i="21"/>
  <c r="K35" i="21"/>
  <c r="I35" i="21"/>
  <c r="H38" i="21"/>
  <c r="J31" i="21"/>
  <c r="K31" i="21"/>
  <c r="I31" i="21"/>
  <c r="H34" i="21"/>
  <c r="J25" i="21"/>
  <c r="K25" i="21"/>
  <c r="I25" i="21"/>
  <c r="H30" i="21"/>
  <c r="J20" i="21"/>
  <c r="H20" i="21" s="1"/>
  <c r="K20" i="21"/>
  <c r="I20" i="21"/>
  <c r="H24" i="21"/>
  <c r="H19" i="21"/>
  <c r="J14" i="21"/>
  <c r="K14" i="21"/>
  <c r="I14" i="21"/>
  <c r="J7" i="21"/>
  <c r="K7" i="21"/>
  <c r="I7" i="21"/>
  <c r="H13" i="21"/>
  <c r="H58" i="9"/>
  <c r="H66" i="9"/>
  <c r="H62" i="9"/>
  <c r="H54" i="9"/>
  <c r="H46" i="9"/>
  <c r="H38" i="9"/>
  <c r="H30" i="9"/>
  <c r="H22" i="9"/>
  <c r="H14" i="9"/>
  <c r="H48" i="15"/>
  <c r="H57" i="15"/>
  <c r="H54" i="15"/>
  <c r="H51" i="15"/>
  <c r="H45" i="15"/>
  <c r="H42" i="15"/>
  <c r="H38" i="15"/>
  <c r="H34" i="15"/>
  <c r="H31" i="15"/>
  <c r="H28" i="15"/>
  <c r="H25" i="15"/>
  <c r="H22" i="15"/>
  <c r="H18" i="15"/>
  <c r="H14" i="15"/>
  <c r="H10" i="15"/>
  <c r="H123" i="18"/>
  <c r="H9" i="18"/>
  <c r="H13" i="18"/>
  <c r="H16" i="18"/>
  <c r="H20" i="18"/>
  <c r="H23" i="18"/>
  <c r="H82" i="18"/>
  <c r="H92" i="18"/>
  <c r="H104" i="18"/>
  <c r="H100" i="18"/>
  <c r="H46" i="14"/>
  <c r="H43" i="21" l="1"/>
  <c r="H7" i="21"/>
  <c r="H14" i="21"/>
  <c r="H25" i="21"/>
  <c r="H31" i="21"/>
  <c r="H35" i="21"/>
  <c r="H47" i="21"/>
  <c r="F50" i="21"/>
  <c r="E50" i="21"/>
  <c r="F46" i="21"/>
  <c r="E46" i="21"/>
  <c r="F38" i="21"/>
  <c r="E38" i="21"/>
  <c r="F34" i="21"/>
  <c r="E34" i="21"/>
  <c r="F30" i="21"/>
  <c r="E30" i="21"/>
  <c r="F24" i="21"/>
  <c r="E24" i="21"/>
  <c r="F19" i="21"/>
  <c r="E19" i="21"/>
  <c r="E13" i="21"/>
  <c r="F58" i="9"/>
  <c r="E58" i="9"/>
  <c r="F66" i="9"/>
  <c r="E66" i="9"/>
  <c r="F62" i="9"/>
  <c r="E62" i="9"/>
  <c r="F54" i="9"/>
  <c r="E54" i="9"/>
  <c r="F46" i="9"/>
  <c r="E46" i="9"/>
  <c r="F38" i="9"/>
  <c r="E38" i="9"/>
  <c r="F30" i="9"/>
  <c r="E30" i="9"/>
  <c r="F22" i="9"/>
  <c r="E22" i="9"/>
  <c r="E14" i="9"/>
  <c r="G58" i="9" l="1"/>
  <c r="G19" i="21"/>
  <c r="G46" i="21"/>
  <c r="G24" i="21"/>
  <c r="G34" i="21"/>
  <c r="G38" i="21"/>
  <c r="G50" i="21"/>
  <c r="G38" i="9"/>
  <c r="G54" i="9"/>
  <c r="G66" i="9"/>
  <c r="G30" i="9"/>
  <c r="G46" i="9"/>
  <c r="G22" i="9"/>
  <c r="G30" i="21"/>
  <c r="G62" i="9"/>
  <c r="F48" i="15" l="1"/>
  <c r="E48" i="15"/>
  <c r="F57" i="15"/>
  <c r="E57" i="15"/>
  <c r="F54" i="15"/>
  <c r="E54" i="15"/>
  <c r="F51" i="15"/>
  <c r="E51" i="15"/>
  <c r="F45" i="15"/>
  <c r="E45" i="15"/>
  <c r="F42" i="15"/>
  <c r="E42" i="15"/>
  <c r="F38" i="15"/>
  <c r="E38" i="15"/>
  <c r="F34" i="15"/>
  <c r="E34" i="15"/>
  <c r="F31" i="15"/>
  <c r="E31" i="15"/>
  <c r="F28" i="15"/>
  <c r="E28" i="15"/>
  <c r="F25" i="15"/>
  <c r="E25" i="15"/>
  <c r="F18" i="15"/>
  <c r="E18" i="15"/>
  <c r="F14" i="15"/>
  <c r="E14" i="15"/>
  <c r="E10" i="15"/>
  <c r="G34" i="15" l="1"/>
  <c r="G42" i="15"/>
  <c r="G25" i="15"/>
  <c r="G38" i="15"/>
  <c r="G18" i="15"/>
  <c r="G31" i="15"/>
  <c r="G51" i="15"/>
  <c r="G57" i="15"/>
  <c r="G14" i="15"/>
  <c r="G28" i="15"/>
  <c r="G45" i="15"/>
  <c r="G54" i="15"/>
  <c r="G48" i="15"/>
  <c r="H71" i="17"/>
  <c r="H51" i="17"/>
  <c r="H48" i="17"/>
  <c r="H45" i="17"/>
  <c r="H89" i="2"/>
  <c r="H83" i="2"/>
  <c r="H78" i="2"/>
  <c r="H86" i="17" l="1"/>
  <c r="E49" i="14"/>
  <c r="F49" i="14"/>
  <c r="E92" i="2"/>
  <c r="G49" i="14" l="1"/>
  <c r="F89" i="2" l="1"/>
  <c r="E89" i="2"/>
  <c r="F83" i="2"/>
  <c r="E83" i="2"/>
  <c r="E78" i="2"/>
  <c r="F78" i="2"/>
  <c r="F123" i="18"/>
  <c r="E123" i="18"/>
  <c r="F104" i="18"/>
  <c r="E104" i="18"/>
  <c r="F100" i="18"/>
  <c r="E100" i="18"/>
  <c r="F92" i="18"/>
  <c r="E92" i="18"/>
  <c r="F82" i="18"/>
  <c r="E82" i="18"/>
  <c r="F23" i="18"/>
  <c r="E23" i="18"/>
  <c r="F20" i="18"/>
  <c r="E20" i="18"/>
  <c r="F16" i="18"/>
  <c r="E16" i="18"/>
  <c r="F13" i="18"/>
  <c r="E13" i="18"/>
  <c r="E9" i="18"/>
  <c r="G123" i="18" l="1"/>
  <c r="G23" i="18"/>
  <c r="G92" i="18"/>
  <c r="G13" i="18"/>
  <c r="G82" i="18"/>
  <c r="G100" i="18"/>
  <c r="G78" i="2"/>
  <c r="G89" i="2"/>
  <c r="G16" i="18"/>
  <c r="G104" i="18"/>
  <c r="G20" i="18"/>
  <c r="G83" i="2"/>
  <c r="E72" i="13" l="1"/>
  <c r="E66" i="13" l="1"/>
  <c r="E9" i="14" l="1"/>
  <c r="E46" i="14" l="1"/>
  <c r="H503" i="3" l="1"/>
  <c r="F146" i="13" l="1"/>
  <c r="E146" i="13"/>
  <c r="G146" i="13" l="1"/>
  <c r="E71" i="17"/>
  <c r="E89" i="17" s="1"/>
  <c r="F51" i="17"/>
  <c r="E51" i="17"/>
  <c r="F48" i="17"/>
  <c r="E48" i="17"/>
  <c r="E45" i="17"/>
  <c r="E86" i="17" l="1"/>
  <c r="G51" i="17"/>
  <c r="G48" i="17"/>
  <c r="F66" i="13"/>
  <c r="G66" i="13" s="1"/>
  <c r="D66" i="13" s="1"/>
  <c r="F72" i="13"/>
  <c r="G72" i="13" s="1"/>
  <c r="D72" i="13" s="1"/>
  <c r="H401" i="3"/>
  <c r="F92" i="2" l="1"/>
  <c r="G92" i="2" s="1"/>
  <c r="F71" i="17" l="1"/>
  <c r="D51" i="17"/>
  <c r="D48" i="17"/>
  <c r="F45" i="17"/>
  <c r="F86" i="17" s="1"/>
  <c r="G71" i="17" l="1"/>
  <c r="F89" i="17"/>
  <c r="G45" i="17"/>
  <c r="G86" i="17" s="1"/>
  <c r="F108" i="13"/>
  <c r="E108" i="13" s="1"/>
  <c r="D108" i="13" s="1"/>
  <c r="F118" i="13"/>
  <c r="E118" i="13" s="1"/>
  <c r="D118" i="13" s="1"/>
  <c r="F138" i="13"/>
  <c r="E138" i="13" s="1"/>
  <c r="D138" i="13" s="1"/>
  <c r="D71" i="17" l="1"/>
  <c r="D89" i="17" s="1"/>
  <c r="G89" i="17"/>
  <c r="D45" i="17"/>
  <c r="D86" i="17" s="1"/>
  <c r="F92" i="13"/>
  <c r="E92" i="13"/>
  <c r="F63" i="18"/>
  <c r="E63" i="18"/>
  <c r="E55" i="18"/>
  <c r="F55" i="18"/>
  <c r="G92" i="13" l="1"/>
  <c r="D92" i="13" s="1"/>
  <c r="G63" i="18"/>
  <c r="D63" i="18" s="1"/>
  <c r="G55" i="18"/>
  <c r="D55" i="18" s="1"/>
  <c r="H67" i="2" l="1"/>
  <c r="E67" i="2"/>
  <c r="F67" i="2"/>
  <c r="G67" i="2" l="1"/>
  <c r="F503" i="3"/>
  <c r="E503" i="3"/>
  <c r="G503" i="3" l="1"/>
  <c r="D503" i="3" s="1"/>
  <c r="K400" i="3"/>
  <c r="J400" i="3"/>
  <c r="I400" i="3"/>
  <c r="C400" i="3"/>
  <c r="H400" i="3" l="1"/>
  <c r="F401" i="3"/>
  <c r="F400" i="3" s="1"/>
  <c r="E401" i="3"/>
  <c r="E400" i="3" s="1"/>
  <c r="G401" i="3" l="1"/>
  <c r="G400" i="3" s="1"/>
  <c r="D400" i="3" s="1"/>
  <c r="H65" i="5"/>
  <c r="H61" i="5"/>
  <c r="H62" i="5"/>
  <c r="H63" i="5"/>
  <c r="H64" i="5"/>
  <c r="H56" i="5"/>
  <c r="H57" i="5"/>
  <c r="H58" i="5"/>
  <c r="H55" i="5"/>
  <c r="H137" i="5" l="1"/>
  <c r="H136" i="5"/>
  <c r="H135" i="5"/>
  <c r="D401" i="3"/>
  <c r="F81" i="2" l="1"/>
  <c r="E81" i="2"/>
  <c r="F73" i="2"/>
  <c r="E73" i="2"/>
  <c r="F41" i="2"/>
  <c r="E41" i="2"/>
  <c r="F39" i="2"/>
  <c r="E39" i="2"/>
  <c r="F37" i="2"/>
  <c r="E37" i="2"/>
  <c r="I73" i="2"/>
  <c r="K73" i="2"/>
  <c r="K81" i="2"/>
  <c r="I81" i="2"/>
  <c r="G41" i="2" l="1"/>
  <c r="G39" i="2"/>
  <c r="G73" i="2"/>
  <c r="G37" i="2"/>
  <c r="G81" i="2"/>
  <c r="K10" i="2"/>
  <c r="I10" i="2"/>
  <c r="K8" i="2"/>
  <c r="I8" i="2"/>
  <c r="K12" i="2"/>
  <c r="I12" i="2"/>
  <c r="K41" i="2" l="1"/>
  <c r="K39" i="2"/>
  <c r="K37" i="2"/>
  <c r="K53" i="2"/>
  <c r="K17" i="2"/>
  <c r="K43" i="2"/>
  <c r="K48" i="2"/>
  <c r="I41" i="2"/>
  <c r="I39" i="2"/>
  <c r="I37" i="2"/>
  <c r="I53" i="2"/>
  <c r="I17" i="2"/>
  <c r="E62" i="5" l="1"/>
  <c r="F62" i="5"/>
  <c r="E63" i="5"/>
  <c r="F63" i="5"/>
  <c r="E64" i="5"/>
  <c r="F64" i="5"/>
  <c r="E65" i="5"/>
  <c r="F65" i="5"/>
  <c r="F61" i="5"/>
  <c r="F134" i="5" s="1"/>
  <c r="E61" i="5"/>
  <c r="E134" i="5" s="1"/>
  <c r="E55" i="5"/>
  <c r="F55" i="5"/>
  <c r="E56" i="5"/>
  <c r="F56" i="5"/>
  <c r="E57" i="5"/>
  <c r="F57" i="5"/>
  <c r="E58" i="5"/>
  <c r="F58" i="5"/>
  <c r="F137" i="5" l="1"/>
  <c r="E137" i="5"/>
  <c r="E136" i="5"/>
  <c r="E135" i="5"/>
  <c r="F135" i="5"/>
  <c r="F136" i="5"/>
  <c r="G55" i="5"/>
  <c r="G58" i="5"/>
  <c r="D58" i="5" s="1"/>
  <c r="G63" i="5"/>
  <c r="D63" i="5" s="1"/>
  <c r="G56" i="5"/>
  <c r="G64" i="5"/>
  <c r="D64" i="5" s="1"/>
  <c r="G65" i="5"/>
  <c r="D65" i="5" s="1"/>
  <c r="G62" i="5"/>
  <c r="D62" i="5" s="1"/>
  <c r="G61" i="5"/>
  <c r="G134" i="5" s="1"/>
  <c r="D55" i="5"/>
  <c r="G57" i="5"/>
  <c r="G137" i="5" l="1"/>
  <c r="D135" i="5"/>
  <c r="G135" i="5"/>
  <c r="G136" i="5"/>
  <c r="D57" i="5"/>
  <c r="D137" i="5" s="1"/>
  <c r="D61" i="5"/>
  <c r="D134" i="5" s="1"/>
  <c r="D56" i="5"/>
  <c r="D136" i="5" s="1"/>
  <c r="I43" i="2"/>
  <c r="I48" i="2"/>
  <c r="H92" i="19"/>
  <c r="F14" i="11" l="1"/>
  <c r="E14" i="11"/>
  <c r="F11" i="11"/>
  <c r="E11" i="11"/>
  <c r="G11" i="11" l="1"/>
  <c r="D11" i="11" s="1"/>
  <c r="G14" i="11"/>
  <c r="D14" i="11" s="1"/>
  <c r="F34" i="11" l="1"/>
  <c r="E34" i="11"/>
  <c r="C33" i="11"/>
  <c r="G34" i="11" l="1"/>
  <c r="D34" i="11" s="1"/>
  <c r="F34" i="17" l="1"/>
  <c r="E34" i="17"/>
  <c r="G34" i="17" l="1"/>
  <c r="D34" i="17" s="1"/>
  <c r="F42" i="17" l="1"/>
  <c r="E42" i="17"/>
  <c r="G42" i="17" l="1"/>
  <c r="D42" i="17" s="1"/>
  <c r="H75" i="3" l="1"/>
  <c r="F40" i="14" l="1"/>
  <c r="F31" i="14"/>
  <c r="G31" i="14" l="1"/>
  <c r="D31" i="14" s="1"/>
  <c r="G40" i="14"/>
  <c r="D40" i="14" s="1"/>
  <c r="F75" i="3" l="1"/>
  <c r="F74" i="3" s="1"/>
  <c r="E75" i="3"/>
  <c r="E74" i="3" s="1"/>
  <c r="G75" i="3" l="1"/>
  <c r="G74" i="3" s="1"/>
  <c r="F92" i="19"/>
  <c r="E92" i="19"/>
  <c r="G92" i="19" l="1"/>
  <c r="D92" i="19" s="1"/>
  <c r="D75" i="3"/>
  <c r="D74" i="3" s="1"/>
  <c r="E157" i="1"/>
  <c r="F157" i="1"/>
  <c r="E156" i="1"/>
  <c r="K155" i="1"/>
  <c r="F156" i="1"/>
  <c r="G156" i="1" l="1"/>
  <c r="G157" i="1"/>
  <c r="H82" i="16"/>
  <c r="H70" i="16"/>
  <c r="F82" i="16"/>
  <c r="E82" i="16"/>
  <c r="F70" i="16"/>
  <c r="E70" i="16"/>
  <c r="G70" i="16" l="1"/>
  <c r="D70" i="16" s="1"/>
  <c r="G82" i="16"/>
  <c r="D82" i="16" s="1"/>
  <c r="H36" i="3" l="1"/>
  <c r="H33" i="3"/>
  <c r="I107" i="13" l="1"/>
  <c r="F95" i="2"/>
  <c r="E95" i="2"/>
  <c r="G95" i="2" l="1"/>
  <c r="C138" i="19" l="1"/>
  <c r="E62" i="21" l="1"/>
  <c r="H62" i="21"/>
  <c r="I62" i="21"/>
  <c r="J62" i="21"/>
  <c r="K62" i="21"/>
  <c r="C62" i="21"/>
  <c r="C134" i="18"/>
  <c r="I107" i="14"/>
  <c r="J107" i="14"/>
  <c r="K107" i="14"/>
  <c r="C107" i="14"/>
  <c r="C104" i="14"/>
  <c r="E72" i="6" l="1"/>
  <c r="F72" i="6"/>
  <c r="E48" i="6"/>
  <c r="F48" i="6"/>
  <c r="G48" i="6" l="1"/>
  <c r="D48" i="6" s="1"/>
  <c r="G72" i="6"/>
  <c r="D72" i="6" s="1"/>
  <c r="C32" i="14"/>
  <c r="C23" i="14"/>
  <c r="D28" i="15" l="1"/>
  <c r="D22" i="15"/>
  <c r="D18" i="15"/>
  <c r="D14" i="15"/>
  <c r="F10" i="15"/>
  <c r="G10" i="15" s="1"/>
  <c r="G47" i="21"/>
  <c r="F47" i="21"/>
  <c r="E47" i="21"/>
  <c r="C47" i="21"/>
  <c r="G43" i="21"/>
  <c r="F43" i="21"/>
  <c r="E43" i="21"/>
  <c r="C43" i="21"/>
  <c r="G39" i="21"/>
  <c r="F39" i="21"/>
  <c r="E39" i="21"/>
  <c r="C39" i="21"/>
  <c r="C35" i="21"/>
  <c r="G35" i="21"/>
  <c r="F35" i="21"/>
  <c r="E35" i="21"/>
  <c r="F31" i="21"/>
  <c r="G31" i="21"/>
  <c r="E31" i="21"/>
  <c r="C31" i="21"/>
  <c r="F25" i="21"/>
  <c r="G25" i="21"/>
  <c r="E25" i="21"/>
  <c r="C25" i="21"/>
  <c r="F20" i="21"/>
  <c r="G20" i="21"/>
  <c r="E20" i="21"/>
  <c r="C20" i="21"/>
  <c r="C14" i="21"/>
  <c r="F14" i="21"/>
  <c r="G14" i="21"/>
  <c r="E14" i="21"/>
  <c r="E7" i="21"/>
  <c r="C7" i="21"/>
  <c r="D50" i="21"/>
  <c r="D30" i="21"/>
  <c r="D24" i="21"/>
  <c r="F13" i="21"/>
  <c r="F62" i="21" s="1"/>
  <c r="F14" i="9"/>
  <c r="G14" i="9" s="1"/>
  <c r="D14" i="9" s="1"/>
  <c r="C93" i="18"/>
  <c r="D123" i="18"/>
  <c r="D82" i="18"/>
  <c r="D16" i="18"/>
  <c r="F9" i="18"/>
  <c r="G9" i="18" s="1"/>
  <c r="F46" i="14"/>
  <c r="G46" i="14" s="1"/>
  <c r="D39" i="21" l="1"/>
  <c r="D52" i="8"/>
  <c r="D64" i="8"/>
  <c r="D49" i="8"/>
  <c r="G13" i="21"/>
  <c r="G7" i="21" s="1"/>
  <c r="D14" i="21"/>
  <c r="D15" i="8"/>
  <c r="D29" i="8"/>
  <c r="D23" i="8"/>
  <c r="D47" i="21"/>
  <c r="D43" i="21"/>
  <c r="D20" i="21"/>
  <c r="D9" i="18"/>
  <c r="D13" i="18"/>
  <c r="D20" i="18"/>
  <c r="F7" i="21"/>
  <c r="D7" i="21"/>
  <c r="D35" i="21"/>
  <c r="D25" i="21"/>
  <c r="D10" i="15"/>
  <c r="D57" i="15"/>
  <c r="D54" i="15"/>
  <c r="D51" i="15"/>
  <c r="D48" i="15"/>
  <c r="D45" i="15"/>
  <c r="D42" i="15"/>
  <c r="D38" i="15"/>
  <c r="D34" i="15"/>
  <c r="D31" i="15"/>
  <c r="D25" i="15"/>
  <c r="D31" i="21"/>
  <c r="E6" i="21"/>
  <c r="D46" i="21"/>
  <c r="D38" i="21"/>
  <c r="D34" i="21"/>
  <c r="D19" i="21"/>
  <c r="D66" i="9"/>
  <c r="D62" i="9"/>
  <c r="D58" i="9"/>
  <c r="D54" i="9"/>
  <c r="D46" i="9"/>
  <c r="D38" i="9"/>
  <c r="D30" i="9"/>
  <c r="D22" i="9"/>
  <c r="D104" i="18"/>
  <c r="D92" i="18"/>
  <c r="D23" i="18"/>
  <c r="D70" i="8"/>
  <c r="D67" i="8"/>
  <c r="D61" i="8"/>
  <c r="D46" i="8"/>
  <c r="D43" i="8"/>
  <c r="D40" i="8"/>
  <c r="D35" i="8"/>
  <c r="D32" i="8"/>
  <c r="D46" i="14"/>
  <c r="K14" i="16"/>
  <c r="J14" i="16"/>
  <c r="I14" i="16"/>
  <c r="K35" i="16"/>
  <c r="J35" i="16"/>
  <c r="I35" i="16"/>
  <c r="G62" i="21" l="1"/>
  <c r="D13" i="21"/>
  <c r="D95" i="8"/>
  <c r="D100" i="18"/>
  <c r="D62" i="21"/>
  <c r="F203" i="13"/>
  <c r="E203" i="13"/>
  <c r="F139" i="13"/>
  <c r="E139" i="13"/>
  <c r="F129" i="13"/>
  <c r="E129" i="13"/>
  <c r="F119" i="13"/>
  <c r="E119" i="13"/>
  <c r="E109" i="13"/>
  <c r="F109" i="13"/>
  <c r="F214" i="13" l="1"/>
  <c r="E214" i="13"/>
  <c r="G119" i="13"/>
  <c r="D119" i="13" s="1"/>
  <c r="G203" i="13"/>
  <c r="D203" i="13" s="1"/>
  <c r="G109" i="13"/>
  <c r="G129" i="13"/>
  <c r="D129" i="13" s="1"/>
  <c r="G139" i="13"/>
  <c r="D139" i="13" s="1"/>
  <c r="H95" i="2"/>
  <c r="D109" i="13" l="1"/>
  <c r="G214" i="13"/>
  <c r="H35" i="3" l="1"/>
  <c r="H32" i="3"/>
  <c r="F36" i="3"/>
  <c r="F35" i="3" s="1"/>
  <c r="E36" i="3"/>
  <c r="E35" i="3" s="1"/>
  <c r="F33" i="3"/>
  <c r="F32" i="3" s="1"/>
  <c r="E33" i="3"/>
  <c r="E32" i="3" s="1"/>
  <c r="G36" i="3" l="1"/>
  <c r="G33" i="3"/>
  <c r="G32" i="3" l="1"/>
  <c r="D32" i="3" s="1"/>
  <c r="G35" i="3"/>
  <c r="D35" i="3" s="1"/>
  <c r="D33" i="3"/>
  <c r="D36" i="3"/>
  <c r="H386" i="3"/>
  <c r="K385" i="3"/>
  <c r="J385" i="3"/>
  <c r="I385" i="3"/>
  <c r="C385" i="3"/>
  <c r="H385" i="3" l="1"/>
  <c r="H11" i="3"/>
  <c r="H10" i="3" s="1"/>
  <c r="H8" i="3"/>
  <c r="H7" i="3" s="1"/>
  <c r="E8" i="3"/>
  <c r="E7" i="3" s="1"/>
  <c r="F8" i="3"/>
  <c r="F7" i="3" s="1"/>
  <c r="H49" i="3"/>
  <c r="H43" i="3"/>
  <c r="G8" i="3" l="1"/>
  <c r="F386" i="3"/>
  <c r="F385" i="3" s="1"/>
  <c r="E386" i="3"/>
  <c r="D8" i="3" l="1"/>
  <c r="G7" i="3"/>
  <c r="D7" i="3" s="1"/>
  <c r="G386" i="3"/>
  <c r="E385" i="3"/>
  <c r="F49" i="3"/>
  <c r="F48" i="3" s="1"/>
  <c r="E49" i="3"/>
  <c r="E48" i="3" s="1"/>
  <c r="F43" i="3"/>
  <c r="F42" i="3" s="1"/>
  <c r="E43" i="3"/>
  <c r="E42" i="3" s="1"/>
  <c r="D386" i="3" l="1"/>
  <c r="G385" i="3"/>
  <c r="D385" i="3" s="1"/>
  <c r="G49" i="3"/>
  <c r="G48" i="3" s="1"/>
  <c r="G43" i="3"/>
  <c r="G42" i="3" s="1"/>
  <c r="H14" i="16"/>
  <c r="H35" i="16"/>
  <c r="F11" i="14"/>
  <c r="E11" i="14"/>
  <c r="F8" i="14"/>
  <c r="E8" i="14"/>
  <c r="F57" i="14"/>
  <c r="E57" i="14"/>
  <c r="F11" i="3"/>
  <c r="F10" i="3" s="1"/>
  <c r="E11" i="3"/>
  <c r="E10" i="3" s="1"/>
  <c r="G8" i="14" l="1"/>
  <c r="G57" i="14"/>
  <c r="G11" i="14"/>
  <c r="G11" i="3"/>
  <c r="G10" i="3" s="1"/>
  <c r="D49" i="3"/>
  <c r="D48" i="3" s="1"/>
  <c r="D43" i="3"/>
  <c r="D42" i="3" s="1"/>
  <c r="H433" i="3"/>
  <c r="I429" i="3"/>
  <c r="J429" i="3"/>
  <c r="K429" i="3"/>
  <c r="H430" i="3"/>
  <c r="H429" i="3" s="1"/>
  <c r="H145" i="1"/>
  <c r="D11" i="3" l="1"/>
  <c r="D10" i="3"/>
  <c r="T27" i="22"/>
  <c r="X27" i="22"/>
  <c r="Y27" i="22"/>
  <c r="F9" i="14" l="1"/>
  <c r="G9" i="14" s="1"/>
  <c r="F12" i="14"/>
  <c r="E12" i="14"/>
  <c r="F58" i="14"/>
  <c r="E58" i="14"/>
  <c r="G12" i="14" l="1"/>
  <c r="G58" i="14"/>
  <c r="H23" i="17"/>
  <c r="H9" i="17"/>
  <c r="H12" i="17"/>
  <c r="H19" i="17"/>
  <c r="H29" i="17"/>
  <c r="H26" i="17"/>
  <c r="H32" i="17"/>
  <c r="H54" i="17"/>
  <c r="H57" i="17"/>
  <c r="H60" i="17"/>
  <c r="H66" i="17"/>
  <c r="H81" i="17"/>
  <c r="H197" i="1"/>
  <c r="J192" i="3" l="1"/>
  <c r="K192" i="3"/>
  <c r="I192" i="3"/>
  <c r="J189" i="3"/>
  <c r="K189" i="3"/>
  <c r="I189" i="3"/>
  <c r="H81" i="2"/>
  <c r="M81" i="2" s="1"/>
  <c r="H73" i="2"/>
  <c r="M73" i="2" s="1"/>
  <c r="H55" i="16"/>
  <c r="H52" i="16"/>
  <c r="H50" i="16"/>
  <c r="E14" i="16" l="1"/>
  <c r="F14" i="16"/>
  <c r="E35" i="16"/>
  <c r="F35" i="16"/>
  <c r="G14" i="16" l="1"/>
  <c r="D14" i="16" s="1"/>
  <c r="G35" i="16"/>
  <c r="D35" i="16" s="1"/>
  <c r="C429" i="3" l="1"/>
  <c r="F433" i="3"/>
  <c r="E433" i="3"/>
  <c r="E430" i="3"/>
  <c r="F430" i="3"/>
  <c r="F429" i="3" s="1"/>
  <c r="G430" i="3" l="1"/>
  <c r="G429" i="3" s="1"/>
  <c r="E429" i="3"/>
  <c r="G433" i="3"/>
  <c r="D433" i="3" s="1"/>
  <c r="D430" i="3" l="1"/>
  <c r="D429" i="3"/>
  <c r="F145" i="1"/>
  <c r="E145" i="1"/>
  <c r="G145" i="1" l="1"/>
  <c r="H136" i="1"/>
  <c r="E136" i="1"/>
  <c r="F136" i="1"/>
  <c r="G136" i="1" l="1"/>
  <c r="E31" i="1"/>
  <c r="F31" i="1"/>
  <c r="G31" i="1" l="1"/>
  <c r="H290" i="3"/>
  <c r="H295" i="4" l="1"/>
  <c r="E28" i="1" l="1"/>
  <c r="I27" i="1"/>
  <c r="F28" i="1" l="1"/>
  <c r="G28" i="1" s="1"/>
  <c r="E29" i="1"/>
  <c r="F29" i="1"/>
  <c r="F128" i="1"/>
  <c r="E128" i="1"/>
  <c r="G29" i="1" l="1"/>
  <c r="D28" i="1"/>
  <c r="G128" i="1"/>
  <c r="D128" i="1" s="1"/>
  <c r="I92" i="17" l="1"/>
  <c r="J92" i="17"/>
  <c r="K92" i="17"/>
  <c r="J13" i="17"/>
  <c r="K13" i="17"/>
  <c r="I13" i="17"/>
  <c r="E290" i="3" l="1"/>
  <c r="F50" i="16"/>
  <c r="E50" i="16"/>
  <c r="F52" i="16"/>
  <c r="E52" i="16"/>
  <c r="F55" i="16"/>
  <c r="E55" i="16"/>
  <c r="G52" i="16" l="1"/>
  <c r="D52" i="16" s="1"/>
  <c r="G50" i="16"/>
  <c r="D50" i="16" s="1"/>
  <c r="G55" i="16"/>
  <c r="D55" i="16" s="1"/>
  <c r="K289" i="3" l="1"/>
  <c r="J289" i="3"/>
  <c r="I289" i="3"/>
  <c r="C289" i="3"/>
  <c r="H289" i="3" l="1"/>
  <c r="F290" i="3"/>
  <c r="F289" i="3" s="1"/>
  <c r="E289" i="3"/>
  <c r="G290" i="3" l="1"/>
  <c r="D290" i="3" l="1"/>
  <c r="G289" i="3"/>
  <c r="D289" i="3" s="1"/>
  <c r="H190" i="3"/>
  <c r="H189" i="3" s="1"/>
  <c r="C189" i="3" l="1"/>
  <c r="F190" i="3"/>
  <c r="F189" i="3" s="1"/>
  <c r="E190" i="3"/>
  <c r="E189" i="3" s="1"/>
  <c r="C192" i="3"/>
  <c r="H193" i="3"/>
  <c r="H192" i="3" s="1"/>
  <c r="F193" i="3"/>
  <c r="F192" i="3" s="1"/>
  <c r="E193" i="3"/>
  <c r="E192" i="3" s="1"/>
  <c r="G190" i="3" l="1"/>
  <c r="G189" i="3" s="1"/>
  <c r="D189" i="3" s="1"/>
  <c r="G193" i="3"/>
  <c r="F19" i="17"/>
  <c r="E19" i="17"/>
  <c r="C18" i="17"/>
  <c r="F81" i="17"/>
  <c r="E81" i="17"/>
  <c r="F66" i="17"/>
  <c r="E66" i="17"/>
  <c r="F60" i="17"/>
  <c r="E60" i="17"/>
  <c r="F57" i="17"/>
  <c r="E57" i="17"/>
  <c r="F54" i="17"/>
  <c r="E54" i="17"/>
  <c r="F32" i="17"/>
  <c r="E32" i="17"/>
  <c r="F29" i="17"/>
  <c r="E29" i="17"/>
  <c r="F26" i="17"/>
  <c r="E26" i="17"/>
  <c r="F23" i="17"/>
  <c r="E23" i="17"/>
  <c r="G23" i="17" s="1"/>
  <c r="D23" i="17" s="1"/>
  <c r="F12" i="17"/>
  <c r="E12" i="17"/>
  <c r="F9" i="17"/>
  <c r="E9" i="17"/>
  <c r="E18" i="17" l="1"/>
  <c r="C92" i="17"/>
  <c r="C13" i="17"/>
  <c r="G54" i="17"/>
  <c r="D54" i="17" s="1"/>
  <c r="G19" i="17"/>
  <c r="D19" i="17" s="1"/>
  <c r="E13" i="17"/>
  <c r="G12" i="17"/>
  <c r="D12" i="17" s="1"/>
  <c r="G9" i="17"/>
  <c r="G26" i="17"/>
  <c r="D26" i="17" s="1"/>
  <c r="G57" i="17"/>
  <c r="D57" i="17" s="1"/>
  <c r="G66" i="17"/>
  <c r="D66" i="17" s="1"/>
  <c r="G81" i="17"/>
  <c r="D81" i="17" s="1"/>
  <c r="D190" i="3"/>
  <c r="D193" i="3"/>
  <c r="G192" i="3"/>
  <c r="D192" i="3" s="1"/>
  <c r="G60" i="17"/>
  <c r="D60" i="17" s="1"/>
  <c r="G32" i="17"/>
  <c r="D32" i="17" s="1"/>
  <c r="G29" i="17"/>
  <c r="D29" i="17" s="1"/>
  <c r="D9" i="17" l="1"/>
  <c r="E87" i="14"/>
  <c r="F87" i="14"/>
  <c r="E88" i="14"/>
  <c r="F88" i="14"/>
  <c r="E82" i="14"/>
  <c r="F82" i="14"/>
  <c r="F103" i="14" s="1"/>
  <c r="F81" i="14"/>
  <c r="E81" i="14"/>
  <c r="F102" i="14" l="1"/>
  <c r="E102" i="14"/>
  <c r="E103" i="14"/>
  <c r="G81" i="14"/>
  <c r="G82" i="14"/>
  <c r="G88" i="14"/>
  <c r="G87" i="14"/>
  <c r="F36" i="19"/>
  <c r="G102" i="14" l="1"/>
  <c r="G103" i="14"/>
  <c r="E36" i="19"/>
  <c r="G36" i="19" s="1"/>
  <c r="E37" i="19"/>
  <c r="F37" i="19"/>
  <c r="F35" i="19"/>
  <c r="E35" i="19"/>
  <c r="G35" i="19" l="1"/>
  <c r="G37" i="19"/>
  <c r="H25" i="3"/>
  <c r="F42" i="6" l="1"/>
  <c r="E42" i="6"/>
  <c r="F75" i="6"/>
  <c r="E75" i="6"/>
  <c r="G75" i="6" s="1"/>
  <c r="G42" i="6" l="1"/>
  <c r="C80" i="2"/>
  <c r="D81" i="2" l="1"/>
  <c r="D73" i="2"/>
  <c r="H46" i="11"/>
  <c r="H49" i="11" l="1"/>
  <c r="H30" i="11"/>
  <c r="H12" i="12"/>
  <c r="E181" i="1" l="1"/>
  <c r="F181" i="1"/>
  <c r="E46" i="11"/>
  <c r="F46" i="11"/>
  <c r="G181" i="1" l="1"/>
  <c r="D181" i="1" s="1"/>
  <c r="G46" i="11"/>
  <c r="D46" i="11" s="1"/>
  <c r="H21" i="11" l="1"/>
  <c r="H9" i="16" l="1"/>
  <c r="H74" i="16"/>
  <c r="H80" i="16"/>
  <c r="H190" i="1" l="1"/>
  <c r="H139" i="1"/>
  <c r="K20" i="1" l="1"/>
  <c r="J20" i="1"/>
  <c r="I20" i="1"/>
  <c r="E182" i="1" l="1"/>
  <c r="F60" i="1" l="1"/>
  <c r="E60" i="1"/>
  <c r="G60" i="1" l="1"/>
  <c r="D60" i="1" s="1"/>
  <c r="H200" i="1"/>
  <c r="H43" i="2"/>
  <c r="M43" i="2" s="1"/>
  <c r="H48" i="2"/>
  <c r="M48" i="2" s="1"/>
  <c r="H62" i="19" l="1"/>
  <c r="H161" i="3" l="1"/>
  <c r="K160" i="3"/>
  <c r="J160" i="3"/>
  <c r="I160" i="3"/>
  <c r="H160" i="3" l="1"/>
  <c r="F53" i="14" l="1"/>
  <c r="E53" i="14"/>
  <c r="H53" i="14"/>
  <c r="G53" i="14" l="1"/>
  <c r="D53" i="14" s="1"/>
  <c r="H10" i="2" l="1"/>
  <c r="M10" i="2" s="1"/>
  <c r="H8" i="2"/>
  <c r="M8" i="2" s="1"/>
  <c r="H12" i="2"/>
  <c r="M12" i="2" s="1"/>
  <c r="J84" i="3"/>
  <c r="K84" i="3"/>
  <c r="I84" i="3"/>
  <c r="H85" i="3"/>
  <c r="H84" i="3" l="1"/>
  <c r="F49" i="11"/>
  <c r="E49" i="11"/>
  <c r="F30" i="11"/>
  <c r="E30" i="11"/>
  <c r="G49" i="11" l="1"/>
  <c r="D49" i="11" s="1"/>
  <c r="G30" i="11"/>
  <c r="D30" i="11" s="1"/>
  <c r="H28" i="3"/>
  <c r="F21" i="11" l="1"/>
  <c r="E21" i="11"/>
  <c r="F139" i="1"/>
  <c r="E139" i="1"/>
  <c r="F151" i="1"/>
  <c r="E151" i="1"/>
  <c r="G21" i="11" l="1"/>
  <c r="D21" i="11" s="1"/>
  <c r="G139" i="1"/>
  <c r="D139" i="1" s="1"/>
  <c r="G151" i="1"/>
  <c r="D151" i="1" s="1"/>
  <c r="F25" i="3"/>
  <c r="F24" i="3" s="1"/>
  <c r="E25" i="3"/>
  <c r="E24" i="3" s="1"/>
  <c r="G25" i="3" l="1"/>
  <c r="G24" i="3" s="1"/>
  <c r="K88" i="17"/>
  <c r="J88" i="17"/>
  <c r="I88" i="17"/>
  <c r="G88" i="17"/>
  <c r="F88" i="17"/>
  <c r="E88" i="17"/>
  <c r="D88" i="17"/>
  <c r="C88" i="17"/>
  <c r="K87" i="17"/>
  <c r="J87" i="17"/>
  <c r="I87" i="17"/>
  <c r="G87" i="17"/>
  <c r="F87" i="17"/>
  <c r="E87" i="17"/>
  <c r="D87" i="17"/>
  <c r="C87" i="17"/>
  <c r="D25" i="3" l="1"/>
  <c r="D24" i="3"/>
  <c r="F114" i="13"/>
  <c r="E114" i="13"/>
  <c r="F134" i="13"/>
  <c r="E134" i="13"/>
  <c r="F124" i="13"/>
  <c r="E124" i="13"/>
  <c r="E219" i="13" l="1"/>
  <c r="F219" i="13"/>
  <c r="G114" i="13"/>
  <c r="G134" i="13"/>
  <c r="D134" i="13" s="1"/>
  <c r="G124" i="13"/>
  <c r="D124" i="13" s="1"/>
  <c r="F178" i="1"/>
  <c r="E178" i="1"/>
  <c r="D114" i="13" l="1"/>
  <c r="D219" i="13" s="1"/>
  <c r="G219" i="13"/>
  <c r="G178" i="1"/>
  <c r="K27" i="3"/>
  <c r="J27" i="3"/>
  <c r="I27" i="3"/>
  <c r="C28" i="3"/>
  <c r="C27" i="3" l="1"/>
  <c r="F28" i="3"/>
  <c r="E28" i="3"/>
  <c r="H27" i="3"/>
  <c r="G28" i="3" l="1"/>
  <c r="F27" i="3"/>
  <c r="G27" i="3" l="1"/>
  <c r="E27" i="3"/>
  <c r="D28" i="3"/>
  <c r="C200" i="1"/>
  <c r="E200" i="1" s="1"/>
  <c r="C197" i="1"/>
  <c r="F197" i="1" s="1"/>
  <c r="E197" i="1" l="1"/>
  <c r="G197" i="1" s="1"/>
  <c r="D197" i="1" s="1"/>
  <c r="D27" i="3"/>
  <c r="F200" i="1"/>
  <c r="G200" i="1" s="1"/>
  <c r="D200" i="1" s="1"/>
  <c r="H158" i="3" l="1"/>
  <c r="K157" i="3"/>
  <c r="J157" i="3"/>
  <c r="I157" i="3"/>
  <c r="J154" i="3"/>
  <c r="K154" i="3"/>
  <c r="I154" i="3"/>
  <c r="H155" i="3"/>
  <c r="H157" i="3" l="1"/>
  <c r="H154" i="3"/>
  <c r="W26" i="4" l="1"/>
  <c r="C84" i="3" l="1"/>
  <c r="F85" i="3" l="1"/>
  <c r="F84" i="3" s="1"/>
  <c r="E85" i="3"/>
  <c r="E84" i="3" s="1"/>
  <c r="C8" i="2"/>
  <c r="C12" i="2"/>
  <c r="E8" i="2" l="1"/>
  <c r="F8" i="2"/>
  <c r="F12" i="2"/>
  <c r="E12" i="2"/>
  <c r="G85" i="3"/>
  <c r="G8" i="2" l="1"/>
  <c r="G12" i="2"/>
  <c r="D12" i="2" s="1"/>
  <c r="D10" i="2"/>
  <c r="D85" i="3"/>
  <c r="G84" i="3"/>
  <c r="D84" i="3" s="1"/>
  <c r="C48" i="2"/>
  <c r="D45" i="2"/>
  <c r="C43" i="2"/>
  <c r="F161" i="3"/>
  <c r="F160" i="3" s="1"/>
  <c r="C160" i="3"/>
  <c r="F43" i="2" l="1"/>
  <c r="E43" i="2"/>
  <c r="F48" i="2"/>
  <c r="E48" i="2"/>
  <c r="E161" i="3"/>
  <c r="E160" i="3" s="1"/>
  <c r="F190" i="1"/>
  <c r="G48" i="2" l="1"/>
  <c r="D48" i="2" s="1"/>
  <c r="G43" i="2"/>
  <c r="D43" i="2" s="1"/>
  <c r="G161" i="3"/>
  <c r="E190" i="1"/>
  <c r="G190" i="1" s="1"/>
  <c r="D190" i="1" s="1"/>
  <c r="H548" i="3"/>
  <c r="H383" i="3"/>
  <c r="J382" i="3"/>
  <c r="K382" i="3"/>
  <c r="I382" i="3"/>
  <c r="D161" i="3" l="1"/>
  <c r="G160" i="3"/>
  <c r="D160" i="3" s="1"/>
  <c r="H382" i="3"/>
  <c r="D188" i="13" l="1"/>
  <c r="D50" i="13"/>
  <c r="D42" i="13"/>
  <c r="D162" i="13"/>
  <c r="D154" i="13" l="1"/>
  <c r="C365" i="3"/>
  <c r="C362" i="3"/>
  <c r="C77" i="3"/>
  <c r="D8" i="13" l="1"/>
  <c r="F12" i="12"/>
  <c r="E12" i="12"/>
  <c r="G12" i="12" l="1"/>
  <c r="D12" i="12" s="1"/>
  <c r="F9" i="16" l="1"/>
  <c r="E9" i="16"/>
  <c r="F74" i="16"/>
  <c r="E74" i="16"/>
  <c r="F80" i="16"/>
  <c r="E80" i="16"/>
  <c r="F27" i="10"/>
  <c r="E27" i="10"/>
  <c r="G74" i="16" l="1"/>
  <c r="D74" i="16" s="1"/>
  <c r="G9" i="16"/>
  <c r="D9" i="16" s="1"/>
  <c r="G80" i="16"/>
  <c r="D80" i="16" s="1"/>
  <c r="G27" i="10"/>
  <c r="D27" i="10" s="1"/>
  <c r="T26" i="4"/>
  <c r="C70" i="19" l="1"/>
  <c r="F70" i="19" s="1"/>
  <c r="C88" i="19"/>
  <c r="E88" i="19" s="1"/>
  <c r="F88" i="19" l="1"/>
  <c r="G88" i="19" s="1"/>
  <c r="E70" i="19"/>
  <c r="G70" i="19" s="1"/>
  <c r="D70" i="19" s="1"/>
  <c r="K136" i="19"/>
  <c r="J136" i="19"/>
  <c r="I136" i="19"/>
  <c r="I132" i="19"/>
  <c r="C49" i="19"/>
  <c r="F49" i="19" s="1"/>
  <c r="C47" i="19"/>
  <c r="F47" i="19" s="1"/>
  <c r="F48" i="19"/>
  <c r="E48" i="19"/>
  <c r="E47" i="19"/>
  <c r="C46" i="19"/>
  <c r="F46" i="19" s="1"/>
  <c r="E46" i="19" l="1"/>
  <c r="G46" i="19" s="1"/>
  <c r="D46" i="19" s="1"/>
  <c r="D88" i="19"/>
  <c r="E49" i="19"/>
  <c r="G49" i="19" s="1"/>
  <c r="D49" i="19" s="1"/>
  <c r="G47" i="19"/>
  <c r="D47" i="19" s="1"/>
  <c r="G48" i="19"/>
  <c r="D48" i="19" s="1"/>
  <c r="C66" i="19"/>
  <c r="F66" i="19" s="1"/>
  <c r="C62" i="19"/>
  <c r="F62" i="19"/>
  <c r="E62" i="19"/>
  <c r="E66" i="19" l="1"/>
  <c r="G66" i="19" s="1"/>
  <c r="D66" i="19" s="1"/>
  <c r="G62" i="19"/>
  <c r="D62" i="19" s="1"/>
  <c r="K216" i="3"/>
  <c r="J216" i="3"/>
  <c r="I216" i="3"/>
  <c r="H217" i="3"/>
  <c r="H216" i="3" s="1"/>
  <c r="C217" i="3" l="1"/>
  <c r="F217" i="3" l="1"/>
  <c r="F216" i="3" s="1"/>
  <c r="C216" i="3"/>
  <c r="E217" i="3"/>
  <c r="G217" i="3" l="1"/>
  <c r="E216" i="3"/>
  <c r="H78" i="3"/>
  <c r="J77" i="3"/>
  <c r="K77" i="3"/>
  <c r="I77" i="3"/>
  <c r="H366" i="3"/>
  <c r="K365" i="3"/>
  <c r="J365" i="3"/>
  <c r="I365" i="3"/>
  <c r="D217" i="3" l="1"/>
  <c r="D216" i="3" s="1"/>
  <c r="G216" i="3"/>
  <c r="H77" i="3"/>
  <c r="H365" i="3"/>
  <c r="H363" i="3"/>
  <c r="J362" i="3"/>
  <c r="K362" i="3"/>
  <c r="I362" i="3"/>
  <c r="H362" i="3" l="1"/>
  <c r="F200" i="13"/>
  <c r="E200" i="13"/>
  <c r="F103" i="13"/>
  <c r="E103" i="13"/>
  <c r="F70" i="13"/>
  <c r="E70" i="13"/>
  <c r="F40" i="13"/>
  <c r="E40" i="13"/>
  <c r="F90" i="13"/>
  <c r="E90" i="13"/>
  <c r="F83" i="13"/>
  <c r="E83" i="13"/>
  <c r="F80" i="13"/>
  <c r="E80" i="13"/>
  <c r="F95" i="13"/>
  <c r="E95" i="13"/>
  <c r="F76" i="13"/>
  <c r="E76" i="13"/>
  <c r="F87" i="13"/>
  <c r="E87" i="13"/>
  <c r="F99" i="13"/>
  <c r="E99" i="13"/>
  <c r="G99" i="13" l="1"/>
  <c r="D99" i="13" s="1"/>
  <c r="G87" i="13"/>
  <c r="D87" i="13" s="1"/>
  <c r="G103" i="13"/>
  <c r="D103" i="13" s="1"/>
  <c r="G200" i="13"/>
  <c r="D200" i="13" s="1"/>
  <c r="G90" i="13"/>
  <c r="D90" i="13" s="1"/>
  <c r="G83" i="13"/>
  <c r="D83" i="13" s="1"/>
  <c r="G76" i="13"/>
  <c r="D76" i="13" s="1"/>
  <c r="G95" i="13"/>
  <c r="D95" i="13" s="1"/>
  <c r="G80" i="13"/>
  <c r="D80" i="13" s="1"/>
  <c r="G40" i="13"/>
  <c r="D40" i="13" s="1"/>
  <c r="G70" i="13"/>
  <c r="D70" i="13" s="1"/>
  <c r="F133" i="13" l="1"/>
  <c r="E133" i="13"/>
  <c r="F123" i="13"/>
  <c r="E123" i="13"/>
  <c r="F113" i="13"/>
  <c r="E113" i="13"/>
  <c r="G123" i="13" l="1"/>
  <c r="D123" i="13" s="1"/>
  <c r="G133" i="13"/>
  <c r="D133" i="13" s="1"/>
  <c r="G113" i="13"/>
  <c r="D113" i="13" s="1"/>
  <c r="C154" i="3" l="1"/>
  <c r="F155" i="3"/>
  <c r="F154" i="3" s="1"/>
  <c r="E155" i="3"/>
  <c r="E154" i="3" s="1"/>
  <c r="F158" i="3"/>
  <c r="F157" i="3" s="1"/>
  <c r="E158" i="3"/>
  <c r="C157" i="3"/>
  <c r="G158" i="3" l="1"/>
  <c r="G157" i="3" s="1"/>
  <c r="G155" i="3"/>
  <c r="G154" i="3" s="1"/>
  <c r="D154" i="3" s="1"/>
  <c r="E157" i="3"/>
  <c r="E213" i="13" l="1"/>
  <c r="F213" i="13"/>
  <c r="D157" i="3"/>
  <c r="D158" i="3"/>
  <c r="D155" i="3"/>
  <c r="H37" i="2"/>
  <c r="M37" i="2" s="1"/>
  <c r="H39" i="2"/>
  <c r="M39" i="2" s="1"/>
  <c r="H41" i="2"/>
  <c r="M41" i="2" s="1"/>
  <c r="G213" i="13" l="1"/>
  <c r="F42" i="1"/>
  <c r="E42" i="1"/>
  <c r="F41" i="1"/>
  <c r="E41" i="1"/>
  <c r="G42" i="1" l="1"/>
  <c r="G41" i="1"/>
  <c r="F548" i="3"/>
  <c r="E548" i="3"/>
  <c r="E547" i="3" s="1"/>
  <c r="G548" i="3" l="1"/>
  <c r="D548" i="3" s="1"/>
  <c r="C383" i="3" l="1"/>
  <c r="F383" i="3" s="1"/>
  <c r="F382" i="3" s="1"/>
  <c r="E383" i="3" l="1"/>
  <c r="E382" i="3" s="1"/>
  <c r="C382" i="3"/>
  <c r="J278" i="3"/>
  <c r="K278" i="3"/>
  <c r="I278" i="3"/>
  <c r="H279" i="3"/>
  <c r="H58" i="11"/>
  <c r="G383" i="3" l="1"/>
  <c r="G382" i="3" s="1"/>
  <c r="H278" i="3"/>
  <c r="F78" i="3"/>
  <c r="F77" i="3" s="1"/>
  <c r="E78" i="3"/>
  <c r="E77" i="3" s="1"/>
  <c r="G78" i="3" l="1"/>
  <c r="G77" i="3" s="1"/>
  <c r="D77" i="3" s="1"/>
  <c r="D383" i="3"/>
  <c r="D382" i="3"/>
  <c r="D78" i="3" l="1"/>
  <c r="F366" i="3"/>
  <c r="E366" i="3"/>
  <c r="E365" i="3" s="1"/>
  <c r="E363" i="3"/>
  <c r="E362" i="3" s="1"/>
  <c r="F363" i="3"/>
  <c r="G363" i="3" l="1"/>
  <c r="G362" i="3" s="1"/>
  <c r="G366" i="3"/>
  <c r="G365" i="3" s="1"/>
  <c r="F362" i="3"/>
  <c r="F365" i="3"/>
  <c r="D366" i="3" l="1"/>
  <c r="D362" i="3"/>
  <c r="D363" i="3"/>
  <c r="D365" i="3"/>
  <c r="H119" i="1"/>
  <c r="K446" i="3" l="1"/>
  <c r="J446" i="3"/>
  <c r="I446" i="3"/>
  <c r="K9" i="1"/>
  <c r="J9" i="1"/>
  <c r="I9" i="1"/>
  <c r="K16" i="1"/>
  <c r="J16" i="1"/>
  <c r="I16" i="1"/>
  <c r="D39" i="2" l="1"/>
  <c r="D41" i="2"/>
  <c r="D37" i="2" l="1"/>
  <c r="C278" i="3" l="1"/>
  <c r="F279" i="3" l="1"/>
  <c r="F278" i="3" s="1"/>
  <c r="E279" i="3"/>
  <c r="E278" i="3" s="1"/>
  <c r="G279" i="3" l="1"/>
  <c r="C58" i="11"/>
  <c r="F58" i="11" s="1"/>
  <c r="E58" i="11" l="1"/>
  <c r="D279" i="3"/>
  <c r="G278" i="3"/>
  <c r="D278" i="3" s="1"/>
  <c r="G58" i="11"/>
  <c r="D58" i="11" s="1"/>
  <c r="C34" i="1" l="1"/>
  <c r="C207" i="13" l="1"/>
  <c r="C36" i="13"/>
  <c r="C34" i="13"/>
  <c r="C218" i="13" l="1"/>
  <c r="H8" i="11"/>
  <c r="C16" i="1" l="1"/>
  <c r="C27" i="22" l="1"/>
  <c r="P27" i="22" l="1"/>
  <c r="Q26" i="22" l="1"/>
  <c r="Q25" i="22"/>
  <c r="Q24" i="22"/>
  <c r="Q22" i="22"/>
  <c r="Q21" i="22"/>
  <c r="Q20" i="22"/>
  <c r="Q18" i="22"/>
  <c r="Q17" i="22"/>
  <c r="Q16" i="22"/>
  <c r="Q15" i="22"/>
  <c r="Q14" i="22"/>
  <c r="Q13" i="22"/>
  <c r="Q12" i="22"/>
  <c r="Q11" i="22"/>
  <c r="Q10" i="22"/>
  <c r="AC10" i="22" s="1"/>
  <c r="Q9" i="22"/>
  <c r="Q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AC12" i="22" s="1"/>
  <c r="D11" i="22"/>
  <c r="D10" i="22"/>
  <c r="D9" i="22"/>
  <c r="D8" i="22"/>
  <c r="D7" i="22"/>
  <c r="AC22" i="22" l="1"/>
  <c r="AC7" i="22"/>
  <c r="AC21" i="22"/>
  <c r="AC24" i="22"/>
  <c r="AC20" i="22"/>
  <c r="AC8" i="22"/>
  <c r="D27" i="22"/>
  <c r="AC11" i="22"/>
  <c r="AC15" i="22"/>
  <c r="AC19" i="22"/>
  <c r="AC23" i="22"/>
  <c r="AC9" i="22"/>
  <c r="AC13" i="22"/>
  <c r="AC17" i="22"/>
  <c r="AC25" i="22"/>
  <c r="AC18" i="22"/>
  <c r="AC26" i="22"/>
  <c r="AC16" i="22"/>
  <c r="AC14" i="22"/>
  <c r="Q27" i="22"/>
  <c r="F60" i="19"/>
  <c r="E60" i="19"/>
  <c r="F59" i="19"/>
  <c r="E59" i="19"/>
  <c r="AC27" i="22" l="1"/>
  <c r="G59" i="19"/>
  <c r="D59" i="19" s="1"/>
  <c r="G60" i="19"/>
  <c r="D60" i="19" s="1"/>
  <c r="C9" i="1"/>
  <c r="C119" i="1"/>
  <c r="E119" i="1" s="1"/>
  <c r="C39" i="19"/>
  <c r="C136" i="19" s="1"/>
  <c r="E39" i="19" l="1"/>
  <c r="F39" i="19"/>
  <c r="F119" i="1"/>
  <c r="G119" i="1" s="1"/>
  <c r="D119" i="1" s="1"/>
  <c r="G39" i="19" l="1"/>
  <c r="D39" i="19" s="1"/>
  <c r="F85" i="14"/>
  <c r="E85" i="14"/>
  <c r="F79" i="14"/>
  <c r="E79" i="14"/>
  <c r="E101" i="14" s="1"/>
  <c r="F101" i="14" l="1"/>
  <c r="G79" i="14"/>
  <c r="G85" i="14"/>
  <c r="G101" i="14" l="1"/>
  <c r="F34" i="1"/>
  <c r="E34" i="1"/>
  <c r="F63" i="1"/>
  <c r="E63" i="1"/>
  <c r="C80" i="1"/>
  <c r="F80" i="1" s="1"/>
  <c r="E80" i="1" l="1"/>
  <c r="G80" i="1" s="1"/>
  <c r="D80" i="1" s="1"/>
  <c r="G34" i="1"/>
  <c r="D34" i="1" s="1"/>
  <c r="G63" i="1"/>
  <c r="D63" i="1" s="1"/>
  <c r="H27" i="16"/>
  <c r="J28" i="16"/>
  <c r="H83" i="16"/>
  <c r="H77" i="16"/>
  <c r="H71" i="16"/>
  <c r="H68" i="16"/>
  <c r="H65" i="16"/>
  <c r="H56" i="16"/>
  <c r="H48" i="16"/>
  <c r="H45" i="16"/>
  <c r="H42" i="16"/>
  <c r="H39" i="16"/>
  <c r="H36" i="16"/>
  <c r="H33" i="16"/>
  <c r="H30" i="16"/>
  <c r="H24" i="16"/>
  <c r="H21" i="16"/>
  <c r="H18" i="16"/>
  <c r="H13" i="7"/>
  <c r="H446" i="3" l="1"/>
  <c r="C446" i="3" l="1"/>
  <c r="E446" i="3" l="1"/>
  <c r="F446" i="3"/>
  <c r="AD7" i="22"/>
  <c r="R8" i="22"/>
  <c r="AD8" i="22"/>
  <c r="AD9" i="22"/>
  <c r="AS9" i="22"/>
  <c r="AU9" i="22"/>
  <c r="AV9" i="22"/>
  <c r="AX9" i="22"/>
  <c r="AY9" i="22"/>
  <c r="BE9" i="22"/>
  <c r="BG9" i="22"/>
  <c r="BH9" i="22"/>
  <c r="BJ9" i="22"/>
  <c r="BK9" i="22"/>
  <c r="AD10" i="22"/>
  <c r="AD11" i="22"/>
  <c r="AD12" i="22"/>
  <c r="AD13" i="22"/>
  <c r="AW13" i="22"/>
  <c r="BI13" i="22"/>
  <c r="AD14" i="22"/>
  <c r="AD15" i="22"/>
  <c r="AD16" i="22"/>
  <c r="AD17" i="22"/>
  <c r="AD18" i="22"/>
  <c r="AD19" i="22"/>
  <c r="AD20" i="22"/>
  <c r="AD21" i="22"/>
  <c r="AS21" i="22"/>
  <c r="AT21" i="22"/>
  <c r="AU21" i="22"/>
  <c r="AV21" i="22"/>
  <c r="BE21" i="22"/>
  <c r="AD22" i="22"/>
  <c r="R23" i="22"/>
  <c r="AD23" i="22"/>
  <c r="AD24" i="22"/>
  <c r="AD25" i="22"/>
  <c r="AD26" i="22"/>
  <c r="E27" i="22"/>
  <c r="G27" i="22"/>
  <c r="H27" i="22"/>
  <c r="I27" i="22"/>
  <c r="J27" i="22"/>
  <c r="K27" i="22"/>
  <c r="L27" i="22"/>
  <c r="M27" i="22"/>
  <c r="N27" i="22"/>
  <c r="O27" i="22"/>
  <c r="R27" i="22"/>
  <c r="U27" i="22"/>
  <c r="V27" i="22"/>
  <c r="W27" i="22"/>
  <c r="Z27" i="22"/>
  <c r="AA27" i="22"/>
  <c r="AB27" i="22"/>
  <c r="AE27" i="22"/>
  <c r="AF27" i="22"/>
  <c r="AG27" i="22"/>
  <c r="AH27" i="22"/>
  <c r="AI27" i="22"/>
  <c r="AJ27" i="22"/>
  <c r="AK27" i="22"/>
  <c r="AL27" i="22"/>
  <c r="AM27" i="22"/>
  <c r="AN27" i="22"/>
  <c r="AO27" i="22"/>
  <c r="AD27" i="22" l="1"/>
  <c r="G446" i="3"/>
  <c r="D446" i="3" s="1"/>
  <c r="C24" i="1"/>
  <c r="E24" i="1" s="1"/>
  <c r="F24" i="1" l="1"/>
  <c r="G24" i="1" s="1"/>
  <c r="D24" i="1" s="1"/>
  <c r="H53" i="2" l="1"/>
  <c r="M53" i="2" s="1"/>
  <c r="F60" i="6" l="1"/>
  <c r="E60" i="6"/>
  <c r="F63" i="6"/>
  <c r="E63" i="6"/>
  <c r="G63" i="6" l="1"/>
  <c r="D63" i="6" s="1"/>
  <c r="G60" i="6"/>
  <c r="D60" i="6" s="1"/>
  <c r="C124" i="19"/>
  <c r="C52" i="19"/>
  <c r="I138" i="19"/>
  <c r="J138" i="19"/>
  <c r="K138" i="19"/>
  <c r="H536" i="3" l="1"/>
  <c r="H470" i="3"/>
  <c r="F58" i="19" l="1"/>
  <c r="E58" i="19"/>
  <c r="F61" i="19"/>
  <c r="E61" i="19"/>
  <c r="G58" i="19" l="1"/>
  <c r="D58" i="19" s="1"/>
  <c r="G61" i="19"/>
  <c r="D61" i="19" s="1"/>
  <c r="F53" i="19" l="1"/>
  <c r="E53" i="19"/>
  <c r="D56" i="19" l="1"/>
  <c r="G53" i="19"/>
  <c r="D53" i="19" s="1"/>
  <c r="F120" i="18" l="1"/>
  <c r="F116" i="18"/>
  <c r="F110" i="18"/>
  <c r="F99" i="18"/>
  <c r="F93" i="18" s="1"/>
  <c r="F88" i="18"/>
  <c r="F78" i="18"/>
  <c r="F66" i="18"/>
  <c r="F58" i="18"/>
  <c r="F49" i="18"/>
  <c r="F40" i="18"/>
  <c r="F31" i="18"/>
  <c r="F134" i="18" l="1"/>
  <c r="F8" i="11"/>
  <c r="E8" i="11"/>
  <c r="G8" i="11" l="1"/>
  <c r="D8" i="11" s="1"/>
  <c r="K187" i="13"/>
  <c r="K179" i="13"/>
  <c r="K170" i="13"/>
  <c r="K161" i="13"/>
  <c r="K153" i="13"/>
  <c r="K145" i="13"/>
  <c r="K137" i="13"/>
  <c r="K127" i="13"/>
  <c r="K117" i="13"/>
  <c r="K107" i="13"/>
  <c r="K57" i="13"/>
  <c r="K49" i="13"/>
  <c r="K41" i="13"/>
  <c r="K25" i="13"/>
  <c r="K16" i="13"/>
  <c r="K7" i="13"/>
  <c r="BD26" i="22" l="1"/>
  <c r="AR26" i="22"/>
  <c r="K394" i="3"/>
  <c r="J394" i="3"/>
  <c r="I394" i="3"/>
  <c r="C395" i="3"/>
  <c r="E395" i="3" s="1"/>
  <c r="E394" i="3" s="1"/>
  <c r="F395" i="3" l="1"/>
  <c r="F394" i="3" s="1"/>
  <c r="C394" i="3"/>
  <c r="H394" i="3"/>
  <c r="H395" i="3"/>
  <c r="C53" i="2"/>
  <c r="G395" i="3" l="1"/>
  <c r="D395" i="3" s="1"/>
  <c r="F53" i="2"/>
  <c r="F52" i="2" s="1"/>
  <c r="E53" i="2"/>
  <c r="C17" i="2"/>
  <c r="C100" i="2" s="1"/>
  <c r="G394" i="3" l="1"/>
  <c r="D394" i="3" s="1"/>
  <c r="G53" i="2"/>
  <c r="G52" i="2" s="1"/>
  <c r="E52" i="2"/>
  <c r="F17" i="2"/>
  <c r="E17" i="2"/>
  <c r="D53" i="2" l="1"/>
  <c r="G17" i="2"/>
  <c r="D52" i="2"/>
  <c r="C470" i="3"/>
  <c r="E470" i="3" s="1"/>
  <c r="F470" i="3" l="1"/>
  <c r="G470" i="3" s="1"/>
  <c r="D470" i="3" s="1"/>
  <c r="C536" i="3"/>
  <c r="E536" i="3" s="1"/>
  <c r="F536" i="3" l="1"/>
  <c r="G536" i="3" s="1"/>
  <c r="D536" i="3" s="1"/>
  <c r="H17" i="2"/>
  <c r="M17" i="2" s="1"/>
  <c r="D17" i="2" l="1"/>
  <c r="F68" i="16"/>
  <c r="E68" i="16"/>
  <c r="F65" i="16"/>
  <c r="E65" i="16"/>
  <c r="F48" i="16"/>
  <c r="E48" i="16"/>
  <c r="F45" i="16"/>
  <c r="E45" i="16"/>
  <c r="F42" i="16"/>
  <c r="E42" i="16"/>
  <c r="F30" i="16"/>
  <c r="E30" i="16"/>
  <c r="F83" i="16"/>
  <c r="E83" i="16"/>
  <c r="F77" i="16"/>
  <c r="E77" i="16"/>
  <c r="F71" i="16"/>
  <c r="E71" i="16"/>
  <c r="F56" i="16"/>
  <c r="E56" i="16"/>
  <c r="F36" i="16"/>
  <c r="E36" i="16"/>
  <c r="F33" i="16"/>
  <c r="E33" i="16"/>
  <c r="F27" i="16"/>
  <c r="E27" i="16"/>
  <c r="F39" i="16"/>
  <c r="E39" i="16"/>
  <c r="F21" i="16"/>
  <c r="E21" i="16"/>
  <c r="F18" i="16"/>
  <c r="E18" i="16"/>
  <c r="F15" i="16"/>
  <c r="E15" i="16"/>
  <c r="F24" i="16"/>
  <c r="E24" i="16"/>
  <c r="G15" i="16" l="1"/>
  <c r="D15" i="16" s="1"/>
  <c r="G21" i="16"/>
  <c r="D21" i="16" s="1"/>
  <c r="G83" i="16"/>
  <c r="D83" i="16" s="1"/>
  <c r="G56" i="16"/>
  <c r="D56" i="16" s="1"/>
  <c r="G77" i="16"/>
  <c r="D77" i="16" s="1"/>
  <c r="G45" i="16"/>
  <c r="D45" i="16" s="1"/>
  <c r="G68" i="16"/>
  <c r="D68" i="16" s="1"/>
  <c r="G65" i="16"/>
  <c r="D65" i="16" s="1"/>
  <c r="G48" i="16"/>
  <c r="D48" i="16" s="1"/>
  <c r="G42" i="16"/>
  <c r="D42" i="16" s="1"/>
  <c r="G30" i="16"/>
  <c r="D30" i="16" s="1"/>
  <c r="G71" i="16"/>
  <c r="D71" i="16" s="1"/>
  <c r="G36" i="16"/>
  <c r="D36" i="16" s="1"/>
  <c r="G33" i="16"/>
  <c r="D33" i="16" s="1"/>
  <c r="G27" i="16"/>
  <c r="D27" i="16" s="1"/>
  <c r="G39" i="16"/>
  <c r="D39" i="16" s="1"/>
  <c r="G18" i="16"/>
  <c r="D18" i="16" s="1"/>
  <c r="G24" i="16"/>
  <c r="D24" i="16" s="1"/>
  <c r="I22" i="1" l="1"/>
  <c r="J22" i="1"/>
  <c r="K22" i="1"/>
  <c r="C23" i="1" l="1"/>
  <c r="E23" i="1" s="1"/>
  <c r="F23" i="1" l="1"/>
  <c r="G23" i="1" s="1"/>
  <c r="D23" i="1" s="1"/>
  <c r="E207" i="13" l="1"/>
  <c r="F207" i="13"/>
  <c r="F36" i="13"/>
  <c r="E36" i="13"/>
  <c r="E34" i="13"/>
  <c r="E218" i="13" l="1"/>
  <c r="G207" i="13"/>
  <c r="D207" i="13" s="1"/>
  <c r="G36" i="13"/>
  <c r="D36" i="13" s="1"/>
  <c r="F34" i="13"/>
  <c r="F218" i="13" s="1"/>
  <c r="G34" i="13" l="1"/>
  <c r="G218" i="13" s="1"/>
  <c r="K59" i="14"/>
  <c r="J59" i="14"/>
  <c r="I59" i="14"/>
  <c r="C59" i="14"/>
  <c r="D34" i="13" l="1"/>
  <c r="H59" i="14"/>
  <c r="F60" i="14"/>
  <c r="F59" i="14" s="1"/>
  <c r="E60" i="14"/>
  <c r="E59" i="14" s="1"/>
  <c r="G60" i="14" l="1"/>
  <c r="G59" i="14" s="1"/>
  <c r="D59" i="14" s="1"/>
  <c r="J124" i="19"/>
  <c r="K124" i="19"/>
  <c r="I124" i="19"/>
  <c r="H125" i="19"/>
  <c r="H123" i="19"/>
  <c r="H120" i="19"/>
  <c r="H117" i="19"/>
  <c r="H114" i="19"/>
  <c r="H111" i="19"/>
  <c r="H108" i="19"/>
  <c r="H105" i="19"/>
  <c r="H102" i="19"/>
  <c r="H99" i="19"/>
  <c r="H96" i="19"/>
  <c r="H93" i="19"/>
  <c r="H30" i="19"/>
  <c r="H27" i="19"/>
  <c r="H24" i="19"/>
  <c r="H21" i="19"/>
  <c r="H18" i="19"/>
  <c r="H15" i="19"/>
  <c r="H12" i="19"/>
  <c r="H9" i="19"/>
  <c r="H33" i="19"/>
  <c r="H124" i="19" l="1"/>
  <c r="H12" i="6"/>
  <c r="H18" i="6"/>
  <c r="H76" i="6"/>
  <c r="H73" i="6"/>
  <c r="H70" i="6"/>
  <c r="H67" i="6"/>
  <c r="H58" i="6"/>
  <c r="H55" i="6"/>
  <c r="H52" i="6"/>
  <c r="H49" i="6"/>
  <c r="H46" i="6"/>
  <c r="H43" i="6"/>
  <c r="H40" i="6"/>
  <c r="H37" i="6"/>
  <c r="H33" i="6"/>
  <c r="H30" i="6"/>
  <c r="H27" i="6"/>
  <c r="H24" i="6"/>
  <c r="H21" i="6"/>
  <c r="H15" i="6"/>
  <c r="H137" i="1"/>
  <c r="H134" i="1"/>
  <c r="F120" i="13" l="1"/>
  <c r="E120" i="13"/>
  <c r="F130" i="13"/>
  <c r="E130" i="13"/>
  <c r="G130" i="13" l="1"/>
  <c r="G120" i="13"/>
  <c r="F25" i="1"/>
  <c r="E25" i="1"/>
  <c r="G25" i="1" l="1"/>
  <c r="H186" i="1"/>
  <c r="H193" i="1" l="1"/>
  <c r="C193" i="1"/>
  <c r="F193" i="1" s="1"/>
  <c r="E193" i="1" l="1"/>
  <c r="G193" i="1" s="1"/>
  <c r="D193" i="1" s="1"/>
  <c r="J312" i="3" l="1"/>
  <c r="K312" i="3"/>
  <c r="I312" i="3"/>
  <c r="J80" i="3"/>
  <c r="K80" i="3"/>
  <c r="I80" i="3"/>
  <c r="H66" i="3"/>
  <c r="H63" i="3"/>
  <c r="H312" i="3" l="1"/>
  <c r="H80" i="3"/>
  <c r="H314" i="3"/>
  <c r="H81" i="3"/>
  <c r="F125" i="19" l="1"/>
  <c r="F124" i="19" s="1"/>
  <c r="E125" i="19"/>
  <c r="E124" i="19" s="1"/>
  <c r="F123" i="19"/>
  <c r="E123" i="19"/>
  <c r="F120" i="19"/>
  <c r="E120" i="19"/>
  <c r="F117" i="19"/>
  <c r="E117" i="19"/>
  <c r="F114" i="19"/>
  <c r="E114" i="19"/>
  <c r="F111" i="19"/>
  <c r="E111" i="19"/>
  <c r="F108" i="19"/>
  <c r="E108" i="19"/>
  <c r="F105" i="19"/>
  <c r="E105" i="19"/>
  <c r="F102" i="19"/>
  <c r="E102" i="19"/>
  <c r="F99" i="19"/>
  <c r="E99" i="19"/>
  <c r="F96" i="19"/>
  <c r="E96" i="19"/>
  <c r="E94" i="19" s="1"/>
  <c r="F93" i="19"/>
  <c r="E93" i="19"/>
  <c r="F44" i="19"/>
  <c r="E44" i="19"/>
  <c r="F33" i="19"/>
  <c r="E33" i="19"/>
  <c r="F30" i="19"/>
  <c r="E30" i="19"/>
  <c r="F27" i="19"/>
  <c r="E27" i="19"/>
  <c r="F24" i="19"/>
  <c r="E24" i="19"/>
  <c r="F21" i="19"/>
  <c r="E21" i="19"/>
  <c r="F18" i="19"/>
  <c r="E18" i="19"/>
  <c r="F15" i="19"/>
  <c r="E15" i="19"/>
  <c r="F12" i="19"/>
  <c r="E12" i="19"/>
  <c r="E110" i="1"/>
  <c r="E137" i="1"/>
  <c r="E134" i="1"/>
  <c r="E129" i="1"/>
  <c r="E117" i="1"/>
  <c r="E114" i="1"/>
  <c r="E55" i="1"/>
  <c r="E51" i="1"/>
  <c r="E32" i="1"/>
  <c r="G21" i="19" l="1"/>
  <c r="D21" i="19" s="1"/>
  <c r="G44" i="19"/>
  <c r="D44" i="19" s="1"/>
  <c r="G108" i="19"/>
  <c r="D108" i="19" s="1"/>
  <c r="G111" i="19"/>
  <c r="D111" i="19" s="1"/>
  <c r="G114" i="19"/>
  <c r="D114" i="19" s="1"/>
  <c r="G125" i="19"/>
  <c r="G124" i="19" s="1"/>
  <c r="D124" i="19" s="1"/>
  <c r="G96" i="19"/>
  <c r="D96" i="19" s="1"/>
  <c r="G99" i="19"/>
  <c r="D99" i="19" s="1"/>
  <c r="G123" i="19"/>
  <c r="D123" i="19" s="1"/>
  <c r="G105" i="19"/>
  <c r="D105" i="19" s="1"/>
  <c r="G93" i="19"/>
  <c r="D93" i="19" s="1"/>
  <c r="G120" i="19"/>
  <c r="D120" i="19" s="1"/>
  <c r="G117" i="19"/>
  <c r="D117" i="19" s="1"/>
  <c r="G102" i="19"/>
  <c r="D102" i="19" s="1"/>
  <c r="G33" i="19"/>
  <c r="D33" i="19" s="1"/>
  <c r="G30" i="19"/>
  <c r="D30" i="19" s="1"/>
  <c r="G27" i="19"/>
  <c r="D27" i="19" s="1"/>
  <c r="G24" i="19"/>
  <c r="D24" i="19" s="1"/>
  <c r="G18" i="19"/>
  <c r="D18" i="19" s="1"/>
  <c r="G15" i="19"/>
  <c r="D15" i="19" s="1"/>
  <c r="G12" i="19"/>
  <c r="D12" i="19" s="1"/>
  <c r="F76" i="6"/>
  <c r="E76" i="6"/>
  <c r="F73" i="6"/>
  <c r="E73" i="6"/>
  <c r="F70" i="6"/>
  <c r="E70" i="6"/>
  <c r="F67" i="6"/>
  <c r="E67" i="6"/>
  <c r="F55" i="6"/>
  <c r="E55" i="6"/>
  <c r="F49" i="6"/>
  <c r="E49" i="6"/>
  <c r="F46" i="6"/>
  <c r="E46" i="6"/>
  <c r="F43" i="6"/>
  <c r="E43" i="6"/>
  <c r="F40" i="6"/>
  <c r="E40" i="6"/>
  <c r="F33" i="6"/>
  <c r="E33" i="6"/>
  <c r="F30" i="6"/>
  <c r="E30" i="6"/>
  <c r="F27" i="6"/>
  <c r="E27" i="6"/>
  <c r="F24" i="6"/>
  <c r="E24" i="6"/>
  <c r="F21" i="6"/>
  <c r="E21" i="6"/>
  <c r="F15" i="6"/>
  <c r="E15" i="6"/>
  <c r="F137" i="1"/>
  <c r="G137" i="1" s="1"/>
  <c r="D137" i="1" s="1"/>
  <c r="F134" i="1"/>
  <c r="G134" i="1" s="1"/>
  <c r="D134" i="1" s="1"/>
  <c r="F129" i="1"/>
  <c r="G129" i="1" s="1"/>
  <c r="F117" i="1"/>
  <c r="G117" i="1" s="1"/>
  <c r="F114" i="1"/>
  <c r="G114" i="1" s="1"/>
  <c r="F110" i="1"/>
  <c r="G110" i="1" s="1"/>
  <c r="F55" i="1"/>
  <c r="G55" i="1" s="1"/>
  <c r="F51" i="1"/>
  <c r="G51" i="1" s="1"/>
  <c r="F32" i="1"/>
  <c r="G32" i="1" s="1"/>
  <c r="D125" i="19" l="1"/>
  <c r="G55" i="6"/>
  <c r="D55" i="6" s="1"/>
  <c r="G76" i="6"/>
  <c r="D76" i="6" s="1"/>
  <c r="G15" i="6"/>
  <c r="D15" i="6" s="1"/>
  <c r="G21" i="6"/>
  <c r="D21" i="6" s="1"/>
  <c r="G33" i="6"/>
  <c r="D33" i="6" s="1"/>
  <c r="G43" i="6"/>
  <c r="D43" i="6" s="1"/>
  <c r="G24" i="6"/>
  <c r="D24" i="6" s="1"/>
  <c r="G30" i="6"/>
  <c r="D30" i="6" s="1"/>
  <c r="G40" i="6"/>
  <c r="D40" i="6" s="1"/>
  <c r="G73" i="6"/>
  <c r="D73" i="6" s="1"/>
  <c r="G49" i="6"/>
  <c r="D49" i="6" s="1"/>
  <c r="G67" i="6"/>
  <c r="D67" i="6" s="1"/>
  <c r="G46" i="6"/>
  <c r="D46" i="6" s="1"/>
  <c r="G70" i="6"/>
  <c r="D70" i="6" s="1"/>
  <c r="G27" i="6"/>
  <c r="D27" i="6" s="1"/>
  <c r="H15" i="2"/>
  <c r="H20" i="2"/>
  <c r="H23" i="2"/>
  <c r="H26" i="2"/>
  <c r="H29" i="2"/>
  <c r="H32" i="2"/>
  <c r="H35" i="2"/>
  <c r="H46" i="2"/>
  <c r="H51" i="2"/>
  <c r="H56" i="2"/>
  <c r="H59" i="2"/>
  <c r="H62" i="2"/>
  <c r="H65" i="2"/>
  <c r="H68" i="2"/>
  <c r="H71" i="2"/>
  <c r="H76" i="2"/>
  <c r="H79" i="2"/>
  <c r="H84" i="2"/>
  <c r="H87" i="2"/>
  <c r="H90" i="2"/>
  <c r="H93" i="2"/>
  <c r="H96" i="2"/>
  <c r="K22" i="11"/>
  <c r="J22" i="11"/>
  <c r="I22" i="11"/>
  <c r="K167" i="1"/>
  <c r="J167" i="1"/>
  <c r="I167" i="1"/>
  <c r="K48" i="1"/>
  <c r="J48" i="1"/>
  <c r="I48" i="1"/>
  <c r="H198" i="1"/>
  <c r="H201" i="1"/>
  <c r="H191" i="1"/>
  <c r="H152" i="1"/>
  <c r="H143" i="1"/>
  <c r="H140" i="1"/>
  <c r="I214" i="1" l="1"/>
  <c r="J214" i="1"/>
  <c r="K214" i="1"/>
  <c r="C314" i="3"/>
  <c r="C312" i="3" s="1"/>
  <c r="F314" i="3" l="1"/>
  <c r="F312" i="3" s="1"/>
  <c r="E314" i="3"/>
  <c r="E312" i="3" s="1"/>
  <c r="G314" i="3" l="1"/>
  <c r="G312" i="3" s="1"/>
  <c r="D312" i="3" s="1"/>
  <c r="D314" i="3" l="1"/>
  <c r="C81" i="3"/>
  <c r="E81" i="3" l="1"/>
  <c r="E80" i="3" s="1"/>
  <c r="C80" i="3"/>
  <c r="F81" i="3"/>
  <c r="K164" i="1"/>
  <c r="G81" i="3" l="1"/>
  <c r="F80" i="3"/>
  <c r="H184" i="1"/>
  <c r="H126" i="1"/>
  <c r="H59" i="11"/>
  <c r="H56" i="11"/>
  <c r="H53" i="11"/>
  <c r="H50" i="11"/>
  <c r="H47" i="11"/>
  <c r="H44" i="11"/>
  <c r="H41" i="11"/>
  <c r="H38" i="11"/>
  <c r="H35" i="11"/>
  <c r="H32" i="11"/>
  <c r="H25" i="11"/>
  <c r="H22" i="11"/>
  <c r="H20" i="11"/>
  <c r="H15" i="11"/>
  <c r="H11" i="11"/>
  <c r="H12" i="11"/>
  <c r="K66" i="5"/>
  <c r="K59" i="5"/>
  <c r="D81" i="3" l="1"/>
  <c r="G80" i="3"/>
  <c r="D80" i="3" s="1"/>
  <c r="C186" i="1"/>
  <c r="E186" i="1" s="1"/>
  <c r="F186" i="1" l="1"/>
  <c r="G186" i="1" s="1"/>
  <c r="D186" i="1" s="1"/>
  <c r="K62" i="3"/>
  <c r="J62" i="3"/>
  <c r="I62" i="3"/>
  <c r="H62" i="3"/>
  <c r="C63" i="3"/>
  <c r="F63" i="3" s="1"/>
  <c r="F62" i="3" s="1"/>
  <c r="C62" i="3" l="1"/>
  <c r="E63" i="3"/>
  <c r="E62" i="3" s="1"/>
  <c r="H16" i="12"/>
  <c r="H13" i="12"/>
  <c r="J131" i="5"/>
  <c r="H131" i="5" s="1"/>
  <c r="J125" i="5"/>
  <c r="H125" i="5" s="1"/>
  <c r="J119" i="5"/>
  <c r="H119" i="5" s="1"/>
  <c r="J113" i="5"/>
  <c r="J107" i="5"/>
  <c r="H107" i="5" s="1"/>
  <c r="J95" i="5"/>
  <c r="H95" i="5" s="1"/>
  <c r="J84" i="5"/>
  <c r="H84" i="5" s="1"/>
  <c r="J66" i="5"/>
  <c r="J59" i="5"/>
  <c r="J26" i="5"/>
  <c r="H26" i="5" s="1"/>
  <c r="J20" i="5"/>
  <c r="H20" i="5" s="1"/>
  <c r="J12" i="5"/>
  <c r="H12" i="5" s="1"/>
  <c r="I66" i="5"/>
  <c r="I59" i="5"/>
  <c r="H113" i="5"/>
  <c r="H101" i="5"/>
  <c r="H98" i="5"/>
  <c r="H78" i="5"/>
  <c r="H75" i="5"/>
  <c r="H72" i="5"/>
  <c r="H69" i="5"/>
  <c r="H52" i="5"/>
  <c r="H49" i="5"/>
  <c r="H46" i="5"/>
  <c r="H38" i="5"/>
  <c r="H35" i="5"/>
  <c r="H32" i="5"/>
  <c r="H29" i="5"/>
  <c r="H15" i="5"/>
  <c r="H59" i="5" l="1"/>
  <c r="I139" i="5"/>
  <c r="H66" i="5"/>
  <c r="G63" i="3"/>
  <c r="D63" i="3" s="1"/>
  <c r="D62" i="3" s="1"/>
  <c r="K65" i="3"/>
  <c r="J65" i="3"/>
  <c r="I65" i="3"/>
  <c r="H65" i="3"/>
  <c r="G62" i="3" l="1"/>
  <c r="C66" i="3"/>
  <c r="E66" i="3" l="1"/>
  <c r="E65" i="3" s="1"/>
  <c r="C65" i="3"/>
  <c r="F66" i="3"/>
  <c r="F65" i="3" s="1"/>
  <c r="G66" i="3" l="1"/>
  <c r="F20" i="11"/>
  <c r="E20" i="11"/>
  <c r="D66" i="3" l="1"/>
  <c r="D65" i="3" s="1"/>
  <c r="G65" i="3"/>
  <c r="G20" i="11"/>
  <c r="D20" i="11" s="1"/>
  <c r="F8" i="1" l="1"/>
  <c r="E8" i="1"/>
  <c r="F9" i="1"/>
  <c r="C10" i="1"/>
  <c r="E10" i="1" s="1"/>
  <c r="E9" i="1" l="1"/>
  <c r="G9" i="1" s="1"/>
  <c r="D9" i="1" s="1"/>
  <c r="F10" i="1"/>
  <c r="G10" i="1" s="1"/>
  <c r="D10" i="1" s="1"/>
  <c r="G8" i="1"/>
  <c r="D8" i="1" s="1"/>
  <c r="H120" i="18"/>
  <c r="E120" i="18"/>
  <c r="H116" i="18"/>
  <c r="E116" i="18"/>
  <c r="H110" i="18"/>
  <c r="E110" i="18"/>
  <c r="H99" i="18"/>
  <c r="E99" i="18"/>
  <c r="E93" i="18" s="1"/>
  <c r="H88" i="18"/>
  <c r="E88" i="18"/>
  <c r="H78" i="18"/>
  <c r="E78" i="18"/>
  <c r="H66" i="18"/>
  <c r="E66" i="18"/>
  <c r="H58" i="18"/>
  <c r="E58" i="18"/>
  <c r="H49" i="18"/>
  <c r="E49" i="18"/>
  <c r="H40" i="18"/>
  <c r="E40" i="18"/>
  <c r="H30" i="18"/>
  <c r="H133" i="18" s="1"/>
  <c r="H29" i="18"/>
  <c r="H132" i="18" s="1"/>
  <c r="H28" i="18"/>
  <c r="H130" i="18" s="1"/>
  <c r="H27" i="18"/>
  <c r="H129" i="18" s="1"/>
  <c r="H26" i="18"/>
  <c r="H128" i="18" s="1"/>
  <c r="H25" i="18"/>
  <c r="H127" i="18" s="1"/>
  <c r="H31" i="18"/>
  <c r="E31" i="18"/>
  <c r="E134" i="18" l="1"/>
  <c r="H134" i="18"/>
  <c r="H135" i="18" s="1"/>
  <c r="J138" i="18" s="1"/>
  <c r="G88" i="18"/>
  <c r="G58" i="18"/>
  <c r="G40" i="18"/>
  <c r="G120" i="18"/>
  <c r="G116" i="18"/>
  <c r="G110" i="18"/>
  <c r="G99" i="18"/>
  <c r="G78" i="18"/>
  <c r="G66" i="18"/>
  <c r="G49" i="18"/>
  <c r="G31" i="18"/>
  <c r="F47" i="11"/>
  <c r="E47" i="11"/>
  <c r="F38" i="11"/>
  <c r="E38" i="11"/>
  <c r="F35" i="11"/>
  <c r="E35" i="11"/>
  <c r="C22" i="11"/>
  <c r="F15" i="11"/>
  <c r="E15" i="11"/>
  <c r="F12" i="11"/>
  <c r="E12" i="11"/>
  <c r="BC22" i="22" l="1"/>
  <c r="G134" i="18"/>
  <c r="G93" i="18"/>
  <c r="G15" i="11"/>
  <c r="D15" i="11" s="1"/>
  <c r="G47" i="11"/>
  <c r="D47" i="11" s="1"/>
  <c r="G12" i="11"/>
  <c r="D12" i="11" s="1"/>
  <c r="G38" i="11"/>
  <c r="D38" i="11" s="1"/>
  <c r="G35" i="11"/>
  <c r="D35" i="11" s="1"/>
  <c r="F52" i="5"/>
  <c r="E52" i="5"/>
  <c r="F38" i="5"/>
  <c r="E38" i="5"/>
  <c r="F32" i="5"/>
  <c r="E32" i="5"/>
  <c r="F49" i="5"/>
  <c r="E49" i="5"/>
  <c r="F35" i="5"/>
  <c r="E35" i="5"/>
  <c r="F29" i="5"/>
  <c r="E29" i="5"/>
  <c r="F101" i="5"/>
  <c r="E101" i="5"/>
  <c r="F98" i="5"/>
  <c r="E98" i="5"/>
  <c r="F78" i="5"/>
  <c r="E78" i="5"/>
  <c r="F46" i="5"/>
  <c r="E46" i="5"/>
  <c r="F15" i="5"/>
  <c r="E15" i="5"/>
  <c r="F75" i="5"/>
  <c r="E75" i="5"/>
  <c r="F72" i="5"/>
  <c r="E72" i="5"/>
  <c r="F69" i="5"/>
  <c r="E69" i="5"/>
  <c r="C66" i="5"/>
  <c r="C60" i="5" s="1"/>
  <c r="G15" i="5" l="1"/>
  <c r="D15" i="5" s="1"/>
  <c r="G49" i="5"/>
  <c r="D49" i="5" s="1"/>
  <c r="G52" i="5"/>
  <c r="D52" i="5" s="1"/>
  <c r="G38" i="5"/>
  <c r="D38" i="5" s="1"/>
  <c r="G32" i="5"/>
  <c r="D32" i="5" s="1"/>
  <c r="G35" i="5"/>
  <c r="D35" i="5" s="1"/>
  <c r="G29" i="5"/>
  <c r="D29" i="5" s="1"/>
  <c r="G101" i="5"/>
  <c r="D101" i="5" s="1"/>
  <c r="G98" i="5"/>
  <c r="D98" i="5" s="1"/>
  <c r="G78" i="5"/>
  <c r="D78" i="5" s="1"/>
  <c r="G46" i="5"/>
  <c r="D46" i="5" s="1"/>
  <c r="G75" i="5"/>
  <c r="D75" i="5" s="1"/>
  <c r="G72" i="5"/>
  <c r="D72" i="5" s="1"/>
  <c r="G69" i="5"/>
  <c r="D69" i="5" s="1"/>
  <c r="C59" i="5"/>
  <c r="C48" i="1" l="1"/>
  <c r="F201" i="1"/>
  <c r="E201" i="1"/>
  <c r="F198" i="1"/>
  <c r="E198" i="1"/>
  <c r="F191" i="1"/>
  <c r="E191" i="1"/>
  <c r="F182" i="1"/>
  <c r="F179" i="1"/>
  <c r="E179" i="1"/>
  <c r="E177" i="1" s="1"/>
  <c r="F152" i="1"/>
  <c r="E152" i="1"/>
  <c r="F143" i="1"/>
  <c r="E143" i="1"/>
  <c r="E140" i="1"/>
  <c r="F140" i="1"/>
  <c r="C167" i="1"/>
  <c r="E167" i="1" s="1"/>
  <c r="C214" i="1" l="1"/>
  <c r="E48" i="1"/>
  <c r="G179" i="1"/>
  <c r="D179" i="1" s="1"/>
  <c r="G143" i="1"/>
  <c r="D143" i="1" s="1"/>
  <c r="G198" i="1"/>
  <c r="G152" i="1"/>
  <c r="D152" i="1" s="1"/>
  <c r="G191" i="1"/>
  <c r="D191" i="1" s="1"/>
  <c r="G140" i="1"/>
  <c r="D140" i="1" s="1"/>
  <c r="G182" i="1"/>
  <c r="D182" i="1" s="1"/>
  <c r="G201" i="1"/>
  <c r="D201" i="1" s="1"/>
  <c r="C191" i="13"/>
  <c r="C190" i="13"/>
  <c r="C165" i="13"/>
  <c r="C164" i="13"/>
  <c r="C157" i="13"/>
  <c r="C156" i="13"/>
  <c r="C149" i="13"/>
  <c r="C148" i="13"/>
  <c r="C183" i="13"/>
  <c r="C182" i="13"/>
  <c r="C174" i="13"/>
  <c r="C173" i="13"/>
  <c r="C153" i="13" l="1"/>
  <c r="F148" i="13"/>
  <c r="E148" i="13"/>
  <c r="F149" i="13"/>
  <c r="E149" i="13"/>
  <c r="F165" i="13"/>
  <c r="E165" i="13"/>
  <c r="F164" i="13"/>
  <c r="E164" i="13"/>
  <c r="E173" i="13"/>
  <c r="F173" i="13"/>
  <c r="F182" i="13"/>
  <c r="E182" i="13"/>
  <c r="F156" i="13"/>
  <c r="E156" i="13"/>
  <c r="E190" i="13"/>
  <c r="F190" i="13"/>
  <c r="F174" i="13"/>
  <c r="E174" i="13"/>
  <c r="F183" i="13"/>
  <c r="E183" i="13"/>
  <c r="F157" i="13"/>
  <c r="E157" i="13"/>
  <c r="F191" i="13"/>
  <c r="E191" i="13"/>
  <c r="F79" i="6"/>
  <c r="E79" i="6"/>
  <c r="F64" i="6"/>
  <c r="E64" i="6"/>
  <c r="F61" i="6"/>
  <c r="E61" i="6"/>
  <c r="F52" i="6"/>
  <c r="E52" i="6"/>
  <c r="F37" i="6"/>
  <c r="E37" i="6"/>
  <c r="F18" i="6"/>
  <c r="E18" i="6"/>
  <c r="F12" i="6"/>
  <c r="E12" i="6"/>
  <c r="F58" i="6"/>
  <c r="E58" i="6"/>
  <c r="E56" i="6" s="1"/>
  <c r="G61" i="6" l="1"/>
  <c r="G157" i="13"/>
  <c r="G148" i="13"/>
  <c r="G191" i="13"/>
  <c r="G190" i="13"/>
  <c r="G182" i="13"/>
  <c r="G164" i="13"/>
  <c r="G149" i="13"/>
  <c r="G173" i="13"/>
  <c r="G183" i="13"/>
  <c r="G156" i="13"/>
  <c r="G174" i="13"/>
  <c r="G165" i="13"/>
  <c r="G52" i="6"/>
  <c r="D52" i="6" s="1"/>
  <c r="G64" i="6"/>
  <c r="G37" i="6"/>
  <c r="D37" i="6" s="1"/>
  <c r="G18" i="6"/>
  <c r="D18" i="6" s="1"/>
  <c r="G12" i="6"/>
  <c r="D12" i="6" s="1"/>
  <c r="G58" i="6"/>
  <c r="D58" i="6" s="1"/>
  <c r="G79" i="6"/>
  <c r="C20" i="13" l="1"/>
  <c r="F20" i="13" s="1"/>
  <c r="C53" i="13"/>
  <c r="E53" i="13" s="1"/>
  <c r="C61" i="13"/>
  <c r="F61" i="13" s="1"/>
  <c r="C45" i="13"/>
  <c r="E45" i="13" s="1"/>
  <c r="C29" i="13"/>
  <c r="E29" i="13" s="1"/>
  <c r="C11" i="13"/>
  <c r="F11" i="13" s="1"/>
  <c r="C52" i="13"/>
  <c r="E52" i="13" s="1"/>
  <c r="C19" i="13"/>
  <c r="F19" i="13" s="1"/>
  <c r="C60" i="13"/>
  <c r="E60" i="13" s="1"/>
  <c r="C10" i="13"/>
  <c r="F10" i="13" s="1"/>
  <c r="F44" i="13"/>
  <c r="E44" i="13"/>
  <c r="F52" i="13" l="1"/>
  <c r="F45" i="13"/>
  <c r="F53" i="13"/>
  <c r="G53" i="13" s="1"/>
  <c r="D53" i="13" s="1"/>
  <c r="F29" i="13"/>
  <c r="G29" i="13" s="1"/>
  <c r="D29" i="13" s="1"/>
  <c r="E11" i="13"/>
  <c r="F60" i="13"/>
  <c r="G60" i="13" s="1"/>
  <c r="D60" i="13" s="1"/>
  <c r="E19" i="13"/>
  <c r="E61" i="13"/>
  <c r="G61" i="13" s="1"/>
  <c r="D61" i="13" s="1"/>
  <c r="E20" i="13"/>
  <c r="G20" i="13" s="1"/>
  <c r="D20" i="13" s="1"/>
  <c r="E10" i="13"/>
  <c r="G44" i="13"/>
  <c r="D44" i="13" s="1"/>
  <c r="G45" i="13"/>
  <c r="D45" i="13" s="1"/>
  <c r="G52" i="13"/>
  <c r="D52" i="13" s="1"/>
  <c r="G10" i="13" l="1"/>
  <c r="G11" i="13"/>
  <c r="G19" i="13"/>
  <c r="D19" i="13" s="1"/>
  <c r="F28" i="13"/>
  <c r="E28" i="13"/>
  <c r="D11" i="13" l="1"/>
  <c r="D10" i="13"/>
  <c r="G28" i="13"/>
  <c r="D28" i="13" s="1"/>
  <c r="F56" i="11"/>
  <c r="E56" i="11"/>
  <c r="F53" i="11"/>
  <c r="E53" i="11"/>
  <c r="F44" i="11"/>
  <c r="E44" i="11"/>
  <c r="F41" i="11"/>
  <c r="E41" i="11"/>
  <c r="F18" i="11"/>
  <c r="E18" i="11"/>
  <c r="F59" i="11"/>
  <c r="E59" i="11"/>
  <c r="F50" i="11"/>
  <c r="E50" i="11"/>
  <c r="D28" i="11" l="1"/>
  <c r="G56" i="11"/>
  <c r="D56" i="11" s="1"/>
  <c r="G53" i="11"/>
  <c r="D53" i="11" s="1"/>
  <c r="G44" i="11"/>
  <c r="D44" i="11" s="1"/>
  <c r="G41" i="11"/>
  <c r="D41" i="11" s="1"/>
  <c r="G18" i="11"/>
  <c r="D18" i="11" s="1"/>
  <c r="G59" i="11"/>
  <c r="D59" i="11" s="1"/>
  <c r="G50" i="11"/>
  <c r="D50" i="11" s="1"/>
  <c r="F32" i="11" l="1"/>
  <c r="E32" i="11"/>
  <c r="F25" i="11"/>
  <c r="E25" i="11"/>
  <c r="F22" i="11"/>
  <c r="E22" i="11"/>
  <c r="H9" i="11"/>
  <c r="F9" i="11"/>
  <c r="F7" i="11" s="1"/>
  <c r="E9" i="11"/>
  <c r="G25" i="11" l="1"/>
  <c r="D25" i="11" s="1"/>
  <c r="G9" i="11"/>
  <c r="D9" i="11" s="1"/>
  <c r="G32" i="11"/>
  <c r="D32" i="11" s="1"/>
  <c r="G22" i="11"/>
  <c r="D22" i="11" s="1"/>
  <c r="F131" i="5" l="1"/>
  <c r="E131" i="5"/>
  <c r="F125" i="5"/>
  <c r="E125" i="5"/>
  <c r="F119" i="5"/>
  <c r="E119" i="5"/>
  <c r="F113" i="5"/>
  <c r="E113" i="5"/>
  <c r="F95" i="5"/>
  <c r="E95" i="5"/>
  <c r="F84" i="5"/>
  <c r="E84" i="5"/>
  <c r="F66" i="5"/>
  <c r="E66" i="5"/>
  <c r="F59" i="5"/>
  <c r="E59" i="5"/>
  <c r="F26" i="5"/>
  <c r="E26" i="5"/>
  <c r="F20" i="5"/>
  <c r="E20" i="5"/>
  <c r="F12" i="5"/>
  <c r="E12" i="5"/>
  <c r="F13" i="12"/>
  <c r="E13" i="12"/>
  <c r="G13" i="12" l="1"/>
  <c r="G84" i="5"/>
  <c r="D84" i="5" s="1"/>
  <c r="G131" i="5"/>
  <c r="D131" i="5" s="1"/>
  <c r="G12" i="5"/>
  <c r="D12" i="5" s="1"/>
  <c r="G20" i="5"/>
  <c r="D20" i="5" s="1"/>
  <c r="G26" i="5"/>
  <c r="D26" i="5" s="1"/>
  <c r="G59" i="5"/>
  <c r="D59" i="5" s="1"/>
  <c r="G125" i="5"/>
  <c r="D125" i="5" s="1"/>
  <c r="G119" i="5"/>
  <c r="D119" i="5" s="1"/>
  <c r="G113" i="5"/>
  <c r="D113" i="5" s="1"/>
  <c r="G95" i="5"/>
  <c r="D95" i="5" s="1"/>
  <c r="G66" i="5"/>
  <c r="D66" i="5" s="1"/>
  <c r="F107" i="5" l="1"/>
  <c r="E107" i="5"/>
  <c r="F16" i="12"/>
  <c r="E16" i="12"/>
  <c r="G16" i="12" l="1"/>
  <c r="D16" i="12" s="1"/>
  <c r="G107" i="5"/>
  <c r="D107" i="5" s="1"/>
  <c r="H99" i="1"/>
  <c r="H154" i="1"/>
  <c r="H151" i="1"/>
  <c r="H149" i="1"/>
  <c r="D13" i="12" l="1"/>
  <c r="C85" i="1"/>
  <c r="E85" i="1" s="1"/>
  <c r="F85" i="1" l="1"/>
  <c r="G85" i="1" s="1"/>
  <c r="F16" i="1"/>
  <c r="E16" i="1" l="1"/>
  <c r="G16" i="1" l="1"/>
  <c r="D16" i="1" s="1"/>
  <c r="K123" i="1"/>
  <c r="K122" i="1"/>
  <c r="J123" i="1"/>
  <c r="J122" i="1"/>
  <c r="I123" i="1"/>
  <c r="I122" i="1"/>
  <c r="H122" i="1" l="1"/>
  <c r="H123" i="1"/>
  <c r="C205" i="13"/>
  <c r="C204" i="13"/>
  <c r="C141" i="13"/>
  <c r="C140" i="13"/>
  <c r="C131" i="13"/>
  <c r="C127" i="13" s="1"/>
  <c r="C121" i="13"/>
  <c r="F141" i="13" l="1"/>
  <c r="E141" i="13"/>
  <c r="E205" i="13"/>
  <c r="F205" i="13"/>
  <c r="F131" i="13"/>
  <c r="E131" i="13"/>
  <c r="F121" i="13"/>
  <c r="E121" i="13"/>
  <c r="E140" i="13"/>
  <c r="F140" i="13"/>
  <c r="E204" i="13"/>
  <c r="F204" i="13"/>
  <c r="C111" i="13"/>
  <c r="C110" i="13"/>
  <c r="C107" i="13" s="1"/>
  <c r="G121" i="13" l="1"/>
  <c r="G140" i="13"/>
  <c r="G205" i="13"/>
  <c r="G131" i="13"/>
  <c r="G141" i="13"/>
  <c r="F110" i="13"/>
  <c r="F215" i="13" s="1"/>
  <c r="E110" i="13"/>
  <c r="E215" i="13" s="1"/>
  <c r="G204" i="13"/>
  <c r="E111" i="13"/>
  <c r="E216" i="13" s="1"/>
  <c r="F111" i="13"/>
  <c r="F216" i="13" s="1"/>
  <c r="C184" i="1"/>
  <c r="C39" i="1"/>
  <c r="F39" i="1" s="1"/>
  <c r="G110" i="13" l="1"/>
  <c r="G215" i="13" s="1"/>
  <c r="G111" i="13"/>
  <c r="G216" i="13" s="1"/>
  <c r="E39" i="1"/>
  <c r="G39" i="1" s="1"/>
  <c r="C126" i="1"/>
  <c r="F13" i="7" l="1"/>
  <c r="E13" i="7"/>
  <c r="G13" i="7" s="1"/>
  <c r="D13" i="7" l="1"/>
  <c r="C17" i="1" l="1"/>
  <c r="F17" i="1" s="1"/>
  <c r="E17" i="1" l="1"/>
  <c r="G17" i="1" l="1"/>
  <c r="D17" i="1" s="1"/>
  <c r="C99" i="1" l="1"/>
  <c r="F99" i="1" l="1"/>
  <c r="E99" i="1"/>
  <c r="G99" i="1" l="1"/>
  <c r="C149" i="1"/>
  <c r="F149" i="1" l="1"/>
  <c r="E149" i="1"/>
  <c r="C154" i="1"/>
  <c r="G149" i="1" l="1"/>
  <c r="E184" i="1"/>
  <c r="F184" i="1" l="1"/>
  <c r="G184" i="1" s="1"/>
  <c r="F126" i="1" l="1"/>
  <c r="E126" i="1"/>
  <c r="G126" i="1" l="1"/>
  <c r="BC26" i="22"/>
  <c r="C577" i="3"/>
  <c r="E577" i="3"/>
  <c r="G577" i="3"/>
  <c r="H577" i="3"/>
  <c r="I577" i="3"/>
  <c r="J577" i="3"/>
  <c r="K577" i="3"/>
  <c r="BJ26" i="22" l="1"/>
  <c r="K41" i="17"/>
  <c r="J41" i="17"/>
  <c r="I41" i="17"/>
  <c r="C41" i="17"/>
  <c r="C10" i="17"/>
  <c r="K47" i="17"/>
  <c r="J47" i="17"/>
  <c r="I47" i="17"/>
  <c r="G47" i="17"/>
  <c r="F47" i="17"/>
  <c r="E47" i="17"/>
  <c r="C47" i="17"/>
  <c r="K44" i="17"/>
  <c r="J44" i="17"/>
  <c r="I44" i="17"/>
  <c r="G44" i="17"/>
  <c r="F44" i="17"/>
  <c r="E44" i="17"/>
  <c r="C44" i="17"/>
  <c r="K33" i="17"/>
  <c r="J33" i="17"/>
  <c r="I33" i="17"/>
  <c r="C33" i="17"/>
  <c r="K7" i="17"/>
  <c r="J7" i="17"/>
  <c r="I7" i="17"/>
  <c r="G7" i="17"/>
  <c r="F7" i="17"/>
  <c r="E7" i="17"/>
  <c r="C7" i="17"/>
  <c r="K10" i="17"/>
  <c r="J10" i="17"/>
  <c r="I10" i="17"/>
  <c r="G10" i="17"/>
  <c r="F10" i="17"/>
  <c r="E10" i="17"/>
  <c r="D10" i="17"/>
  <c r="K24" i="17"/>
  <c r="J24" i="17"/>
  <c r="I24" i="17"/>
  <c r="G24" i="17"/>
  <c r="F24" i="17"/>
  <c r="E24" i="17"/>
  <c r="C24" i="17"/>
  <c r="K27" i="17"/>
  <c r="J27" i="17"/>
  <c r="I27" i="17"/>
  <c r="G27" i="17"/>
  <c r="F27" i="17"/>
  <c r="E27" i="17"/>
  <c r="C27" i="17"/>
  <c r="K30" i="17"/>
  <c r="J30" i="17"/>
  <c r="I30" i="17"/>
  <c r="G30" i="17"/>
  <c r="F30" i="17"/>
  <c r="E30" i="17"/>
  <c r="C30" i="17"/>
  <c r="C78" i="16" l="1"/>
  <c r="E78" i="16"/>
  <c r="F78" i="16"/>
  <c r="G78" i="16"/>
  <c r="I78" i="16"/>
  <c r="J78" i="16"/>
  <c r="K78" i="16"/>
  <c r="C92" i="16"/>
  <c r="D92" i="16"/>
  <c r="AQ20" i="22" s="1"/>
  <c r="E92" i="16"/>
  <c r="F92" i="16"/>
  <c r="G92" i="16"/>
  <c r="H92" i="16"/>
  <c r="BC20" i="22" s="1"/>
  <c r="I92" i="16"/>
  <c r="J92" i="16"/>
  <c r="K92" i="16"/>
  <c r="C89" i="16"/>
  <c r="D89" i="16"/>
  <c r="AX20" i="22" s="1"/>
  <c r="E89" i="16"/>
  <c r="F89" i="16"/>
  <c r="G89" i="16"/>
  <c r="H89" i="16"/>
  <c r="BJ20" i="22" s="1"/>
  <c r="I89" i="16"/>
  <c r="J89" i="16"/>
  <c r="K89" i="16"/>
  <c r="D78" i="16" l="1"/>
  <c r="H78" i="16"/>
  <c r="C206" i="1" l="1"/>
  <c r="E206" i="1"/>
  <c r="F206" i="1"/>
  <c r="G206" i="1"/>
  <c r="I206" i="1"/>
  <c r="J206" i="1"/>
  <c r="K206" i="1"/>
  <c r="C123" i="1" l="1"/>
  <c r="F123" i="1" s="1"/>
  <c r="C122" i="1"/>
  <c r="E122" i="1" s="1"/>
  <c r="F122" i="1" l="1"/>
  <c r="E123" i="1"/>
  <c r="G123" i="1" s="1"/>
  <c r="G122" i="1" l="1"/>
  <c r="I164" i="1"/>
  <c r="D89" i="2" l="1"/>
  <c r="F90" i="2"/>
  <c r="F88" i="2" s="1"/>
  <c r="E90" i="2"/>
  <c r="E88" i="2" s="1"/>
  <c r="D78" i="2"/>
  <c r="F79" i="2"/>
  <c r="F77" i="2" s="1"/>
  <c r="E79" i="2"/>
  <c r="E77" i="2" s="1"/>
  <c r="D64" i="2"/>
  <c r="F65" i="2"/>
  <c r="F63" i="2" s="1"/>
  <c r="E65" i="2"/>
  <c r="E63" i="2" s="1"/>
  <c r="D61" i="2"/>
  <c r="F62" i="2"/>
  <c r="F60" i="2" s="1"/>
  <c r="E62" i="2"/>
  <c r="E60" i="2" s="1"/>
  <c r="D28" i="2"/>
  <c r="F29" i="2"/>
  <c r="F27" i="2" s="1"/>
  <c r="E29" i="2"/>
  <c r="E27" i="2" s="1"/>
  <c r="D25" i="2"/>
  <c r="F26" i="2"/>
  <c r="F24" i="2" s="1"/>
  <c r="E26" i="2"/>
  <c r="E24" i="2" s="1"/>
  <c r="D22" i="2"/>
  <c r="F23" i="2"/>
  <c r="F21" i="2" s="1"/>
  <c r="E23" i="2"/>
  <c r="D19" i="2"/>
  <c r="F20" i="2"/>
  <c r="E20" i="2"/>
  <c r="D14" i="2"/>
  <c r="F15" i="2"/>
  <c r="F13" i="2" s="1"/>
  <c r="E15" i="2"/>
  <c r="E13" i="2" s="1"/>
  <c r="D50" i="2"/>
  <c r="F51" i="2"/>
  <c r="F49" i="2" s="1"/>
  <c r="E51" i="2"/>
  <c r="E49" i="2" s="1"/>
  <c r="F35" i="2"/>
  <c r="E35" i="2"/>
  <c r="E33" i="2" s="1"/>
  <c r="D34" i="2"/>
  <c r="F46" i="2"/>
  <c r="E46" i="2"/>
  <c r="E44" i="2" s="1"/>
  <c r="F32" i="2"/>
  <c r="E32" i="2"/>
  <c r="E30" i="2" s="1"/>
  <c r="D31" i="2"/>
  <c r="F76" i="2"/>
  <c r="F74" i="2" s="1"/>
  <c r="E76" i="2"/>
  <c r="E74" i="2" s="1"/>
  <c r="D75" i="2"/>
  <c r="F68" i="2"/>
  <c r="E68" i="2"/>
  <c r="E66" i="2" s="1"/>
  <c r="D67" i="2"/>
  <c r="D58" i="2"/>
  <c r="F59" i="2"/>
  <c r="F57" i="2" s="1"/>
  <c r="E59" i="2"/>
  <c r="E57" i="2" s="1"/>
  <c r="D95" i="2"/>
  <c r="F96" i="2"/>
  <c r="F94" i="2" s="1"/>
  <c r="E96" i="2"/>
  <c r="E94" i="2" s="1"/>
  <c r="D55" i="2"/>
  <c r="F56" i="2"/>
  <c r="E56" i="2"/>
  <c r="D92" i="2"/>
  <c r="F93" i="2"/>
  <c r="F91" i="2" s="1"/>
  <c r="E93" i="2"/>
  <c r="E91" i="2" s="1"/>
  <c r="D70" i="2"/>
  <c r="F71" i="2"/>
  <c r="E71" i="2"/>
  <c r="D86" i="2"/>
  <c r="F87" i="2"/>
  <c r="E87" i="2"/>
  <c r="F84" i="2"/>
  <c r="E84" i="2"/>
  <c r="D83" i="2"/>
  <c r="G84" i="2" l="1"/>
  <c r="D84" i="2" s="1"/>
  <c r="G71" i="2"/>
  <c r="D71" i="2" s="1"/>
  <c r="G20" i="2"/>
  <c r="G18" i="2" s="1"/>
  <c r="G87" i="2"/>
  <c r="D87" i="2" s="1"/>
  <c r="G23" i="2"/>
  <c r="G21" i="2" s="1"/>
  <c r="G29" i="2"/>
  <c r="D29" i="2" s="1"/>
  <c r="E21" i="2"/>
  <c r="G90" i="2"/>
  <c r="G79" i="2"/>
  <c r="G65" i="2"/>
  <c r="G63" i="2" s="1"/>
  <c r="D63" i="2" s="1"/>
  <c r="G62" i="2"/>
  <c r="G26" i="2"/>
  <c r="G24" i="2" s="1"/>
  <c r="D24" i="2" s="1"/>
  <c r="E18" i="2"/>
  <c r="F18" i="2"/>
  <c r="G15" i="2"/>
  <c r="G13" i="2" s="1"/>
  <c r="D13" i="2" s="1"/>
  <c r="G51" i="2"/>
  <c r="G49" i="2" s="1"/>
  <c r="D49" i="2" s="1"/>
  <c r="G35" i="2"/>
  <c r="G33" i="2" s="1"/>
  <c r="F33" i="2"/>
  <c r="G46" i="2"/>
  <c r="G44" i="2" s="1"/>
  <c r="F44" i="2"/>
  <c r="G32" i="2"/>
  <c r="G30" i="2" s="1"/>
  <c r="F30" i="2"/>
  <c r="G76" i="2"/>
  <c r="G74" i="2" s="1"/>
  <c r="D74" i="2" s="1"/>
  <c r="G68" i="2"/>
  <c r="G66" i="2" s="1"/>
  <c r="F66" i="2"/>
  <c r="G59" i="2"/>
  <c r="G96" i="2"/>
  <c r="G56" i="2"/>
  <c r="D56" i="2" s="1"/>
  <c r="G93" i="2"/>
  <c r="D191" i="13"/>
  <c r="D190" i="13"/>
  <c r="D151" i="13"/>
  <c r="D149" i="13"/>
  <c r="D148" i="13"/>
  <c r="D147" i="13"/>
  <c r="D146" i="13"/>
  <c r="D185" i="13"/>
  <c r="D183" i="13"/>
  <c r="D182" i="13"/>
  <c r="D181" i="13"/>
  <c r="D180" i="13"/>
  <c r="D177" i="13"/>
  <c r="D174" i="13"/>
  <c r="D173" i="13"/>
  <c r="D172" i="13"/>
  <c r="D171" i="13"/>
  <c r="D213" i="13" l="1"/>
  <c r="D21" i="2"/>
  <c r="D44" i="2"/>
  <c r="G27" i="2"/>
  <c r="D27" i="2" s="1"/>
  <c r="D26" i="2"/>
  <c r="D23" i="2"/>
  <c r="D20" i="2"/>
  <c r="D79" i="2"/>
  <c r="G77" i="2"/>
  <c r="D77" i="2" s="1"/>
  <c r="D96" i="2"/>
  <c r="G94" i="2"/>
  <c r="D94" i="2" s="1"/>
  <c r="D76" i="2"/>
  <c r="D18" i="2"/>
  <c r="D62" i="2"/>
  <c r="G60" i="2"/>
  <c r="D60" i="2" s="1"/>
  <c r="D93" i="2"/>
  <c r="G91" i="2"/>
  <c r="D91" i="2" s="1"/>
  <c r="D51" i="2"/>
  <c r="D15" i="2"/>
  <c r="D65" i="2"/>
  <c r="D90" i="2"/>
  <c r="G88" i="2"/>
  <c r="D88" i="2" s="1"/>
  <c r="D35" i="2"/>
  <c r="D33" i="2"/>
  <c r="D46" i="2"/>
  <c r="D32" i="2"/>
  <c r="D30" i="2"/>
  <c r="D68" i="2"/>
  <c r="D66" i="2"/>
  <c r="D59" i="2"/>
  <c r="G57" i="2"/>
  <c r="D57" i="2" s="1"/>
  <c r="J173" i="1" l="1"/>
  <c r="J93" i="1"/>
  <c r="J91" i="1" s="1"/>
  <c r="I173" i="1" l="1"/>
  <c r="I93" i="1"/>
  <c r="I91" i="1" s="1"/>
  <c r="K173" i="1"/>
  <c r="K93" i="1"/>
  <c r="K91" i="1" s="1"/>
  <c r="J164" i="1"/>
  <c r="H90" i="19" l="1"/>
  <c r="H89" i="19"/>
  <c r="H88" i="19"/>
  <c r="H87" i="19"/>
  <c r="H86" i="19"/>
  <c r="H85" i="19"/>
  <c r="H84" i="19"/>
  <c r="H82" i="19"/>
  <c r="H81" i="19"/>
  <c r="H80" i="19"/>
  <c r="H79" i="19"/>
  <c r="H78" i="19"/>
  <c r="H77" i="19"/>
  <c r="H75" i="19"/>
  <c r="H74" i="19"/>
  <c r="H72" i="19"/>
  <c r="H71" i="19"/>
  <c r="H70" i="19"/>
  <c r="K73" i="19"/>
  <c r="J73" i="19"/>
  <c r="I73" i="19"/>
  <c r="K69" i="19"/>
  <c r="J69" i="19"/>
  <c r="I69" i="19"/>
  <c r="H68" i="19"/>
  <c r="H67" i="19"/>
  <c r="H66" i="19"/>
  <c r="H64" i="19"/>
  <c r="H63" i="19"/>
  <c r="H61" i="19"/>
  <c r="H60" i="19"/>
  <c r="H59" i="19"/>
  <c r="H58" i="19"/>
  <c r="H56" i="19"/>
  <c r="H55" i="19"/>
  <c r="H54" i="19"/>
  <c r="H53" i="19"/>
  <c r="K52" i="19"/>
  <c r="J52" i="19"/>
  <c r="I52" i="19"/>
  <c r="F52" i="19"/>
  <c r="G52" i="19"/>
  <c r="E52" i="19"/>
  <c r="H51" i="19"/>
  <c r="H50" i="19"/>
  <c r="H49" i="19"/>
  <c r="H48" i="19"/>
  <c r="H47" i="19"/>
  <c r="H46" i="19"/>
  <c r="H44" i="19"/>
  <c r="H43" i="19"/>
  <c r="H40" i="19"/>
  <c r="H39" i="19"/>
  <c r="H38" i="19"/>
  <c r="H37" i="19"/>
  <c r="H36" i="19"/>
  <c r="H35" i="19"/>
  <c r="H41" i="19"/>
  <c r="H137" i="19" l="1"/>
  <c r="H136" i="19"/>
  <c r="H138" i="19"/>
  <c r="BC23" i="22" s="1"/>
  <c r="D52" i="19"/>
  <c r="H52" i="19"/>
  <c r="H73" i="19"/>
  <c r="H69" i="19"/>
  <c r="J12" i="1" l="1"/>
  <c r="J15" i="1"/>
  <c r="J19" i="1"/>
  <c r="J27" i="1"/>
  <c r="J30" i="1"/>
  <c r="J33" i="1"/>
  <c r="J38" i="1"/>
  <c r="J40" i="1"/>
  <c r="J44" i="1"/>
  <c r="J49" i="1"/>
  <c r="D120" i="13" l="1"/>
  <c r="D130" i="13"/>
  <c r="D141" i="13" l="1"/>
  <c r="D140" i="13"/>
  <c r="D111" i="13" l="1"/>
  <c r="D204" i="13"/>
  <c r="D205" i="13"/>
  <c r="D121" i="13" l="1"/>
  <c r="D110" i="13"/>
  <c r="D131" i="13"/>
  <c r="F90" i="19" l="1"/>
  <c r="E90" i="19"/>
  <c r="F82" i="19"/>
  <c r="E82" i="19"/>
  <c r="F75" i="19"/>
  <c r="E75" i="19"/>
  <c r="F72" i="19"/>
  <c r="E72" i="19"/>
  <c r="F68" i="19"/>
  <c r="E68" i="19"/>
  <c r="F64" i="19"/>
  <c r="E64" i="19"/>
  <c r="F51" i="19"/>
  <c r="E51" i="19"/>
  <c r="D40" i="19"/>
  <c r="D137" i="19" s="1"/>
  <c r="D38" i="19"/>
  <c r="D135" i="19" s="1"/>
  <c r="AV23" i="22" s="1"/>
  <c r="D37" i="19"/>
  <c r="D134" i="19" s="1"/>
  <c r="AU23" i="22" s="1"/>
  <c r="D36" i="19"/>
  <c r="D133" i="19" s="1"/>
  <c r="AT23" i="22" s="1"/>
  <c r="D35" i="19"/>
  <c r="D132" i="19" s="1"/>
  <c r="AS23" i="22" s="1"/>
  <c r="F41" i="19"/>
  <c r="F34" i="19" s="1"/>
  <c r="E41" i="19"/>
  <c r="E34" i="19" s="1"/>
  <c r="G41" i="19" l="1"/>
  <c r="G68" i="19"/>
  <c r="D68" i="19" s="1"/>
  <c r="G75" i="19"/>
  <c r="D75" i="19" s="1"/>
  <c r="G90" i="19"/>
  <c r="D90" i="19" s="1"/>
  <c r="G64" i="19"/>
  <c r="D64" i="19" s="1"/>
  <c r="G72" i="19"/>
  <c r="D72" i="19" s="1"/>
  <c r="G82" i="19"/>
  <c r="D82" i="19" s="1"/>
  <c r="G51" i="19"/>
  <c r="D51" i="19" s="1"/>
  <c r="D41" i="19" l="1"/>
  <c r="G34" i="19"/>
  <c r="C13" i="1"/>
  <c r="E13" i="1" l="1"/>
  <c r="F13" i="1"/>
  <c r="O59" i="14"/>
  <c r="G13" i="1" l="1"/>
  <c r="F57" i="1" l="1"/>
  <c r="E57" i="1"/>
  <c r="G57" i="1" l="1"/>
  <c r="BJ23" i="22"/>
  <c r="AQ10" i="22" l="1"/>
  <c r="BC10" i="22"/>
  <c r="C92" i="8"/>
  <c r="D92" i="8"/>
  <c r="AX10" i="22" s="1"/>
  <c r="E92" i="8"/>
  <c r="F92" i="8"/>
  <c r="G92" i="8"/>
  <c r="H92" i="8"/>
  <c r="BJ10" i="22" s="1"/>
  <c r="I92" i="8"/>
  <c r="J92" i="8"/>
  <c r="K92" i="8"/>
  <c r="K578" i="3" l="1"/>
  <c r="J578" i="3"/>
  <c r="I578" i="3"/>
  <c r="H578" i="3"/>
  <c r="BK26" i="22" s="1"/>
  <c r="G578" i="3"/>
  <c r="F578" i="3"/>
  <c r="E578" i="3"/>
  <c r="D578" i="3"/>
  <c r="AY26" i="22" s="1"/>
  <c r="C578" i="3"/>
  <c r="K576" i="3"/>
  <c r="J576" i="3"/>
  <c r="I576" i="3"/>
  <c r="H576" i="3"/>
  <c r="BH26" i="22" s="1"/>
  <c r="G576" i="3"/>
  <c r="F576" i="3"/>
  <c r="E576" i="3"/>
  <c r="D576" i="3"/>
  <c r="AV26" i="22" s="1"/>
  <c r="C576" i="3"/>
  <c r="K575" i="3"/>
  <c r="J575" i="3"/>
  <c r="I575" i="3"/>
  <c r="H575" i="3"/>
  <c r="BG26" i="22" s="1"/>
  <c r="G575" i="3"/>
  <c r="F575" i="3"/>
  <c r="E575" i="3"/>
  <c r="D575" i="3"/>
  <c r="AU26" i="22" s="1"/>
  <c r="C575" i="3"/>
  <c r="K574" i="3"/>
  <c r="J574" i="3"/>
  <c r="I574" i="3"/>
  <c r="H574" i="3"/>
  <c r="BF26" i="22" s="1"/>
  <c r="G574" i="3"/>
  <c r="F574" i="3"/>
  <c r="E574" i="3"/>
  <c r="D574" i="3"/>
  <c r="AT26" i="22" s="1"/>
  <c r="C574" i="3"/>
  <c r="K573" i="3"/>
  <c r="J573" i="3"/>
  <c r="I573" i="3"/>
  <c r="H573" i="3"/>
  <c r="G573" i="3"/>
  <c r="F573" i="3"/>
  <c r="E573" i="3"/>
  <c r="D573" i="3"/>
  <c r="C573" i="3"/>
  <c r="K562" i="3"/>
  <c r="J562" i="3"/>
  <c r="I562" i="3"/>
  <c r="G562" i="3"/>
  <c r="F562" i="3"/>
  <c r="E562" i="3"/>
  <c r="C562" i="3"/>
  <c r="K559" i="3"/>
  <c r="J559" i="3"/>
  <c r="I559" i="3"/>
  <c r="G559" i="3"/>
  <c r="F559" i="3"/>
  <c r="E559" i="3"/>
  <c r="C559" i="3"/>
  <c r="K552" i="3"/>
  <c r="J552" i="3"/>
  <c r="I552" i="3"/>
  <c r="G552" i="3"/>
  <c r="F552" i="3"/>
  <c r="E552" i="3"/>
  <c r="C552" i="3"/>
  <c r="K547" i="3"/>
  <c r="J547" i="3"/>
  <c r="I547" i="3"/>
  <c r="G547" i="3"/>
  <c r="F547" i="3"/>
  <c r="C547" i="3"/>
  <c r="K544" i="3"/>
  <c r="J544" i="3"/>
  <c r="I544" i="3"/>
  <c r="G544" i="3"/>
  <c r="F544" i="3"/>
  <c r="E544" i="3"/>
  <c r="C544" i="3"/>
  <c r="K538" i="3"/>
  <c r="J538" i="3"/>
  <c r="I538" i="3"/>
  <c r="H538" i="3"/>
  <c r="G538" i="3"/>
  <c r="F538" i="3"/>
  <c r="E538" i="3"/>
  <c r="D538" i="3"/>
  <c r="C538" i="3"/>
  <c r="K535" i="3"/>
  <c r="J535" i="3"/>
  <c r="I535" i="3"/>
  <c r="G535" i="3"/>
  <c r="F535" i="3"/>
  <c r="E535" i="3"/>
  <c r="C535" i="3"/>
  <c r="K528" i="3"/>
  <c r="J528" i="3"/>
  <c r="I528" i="3"/>
  <c r="G528" i="3"/>
  <c r="F528" i="3"/>
  <c r="E528" i="3"/>
  <c r="C528" i="3"/>
  <c r="K525" i="3"/>
  <c r="J525" i="3"/>
  <c r="I525" i="3"/>
  <c r="G525" i="3"/>
  <c r="F525" i="3"/>
  <c r="E525" i="3"/>
  <c r="C525" i="3"/>
  <c r="K502" i="3"/>
  <c r="J502" i="3"/>
  <c r="I502" i="3"/>
  <c r="G502" i="3"/>
  <c r="F502" i="3"/>
  <c r="E502" i="3"/>
  <c r="C502" i="3"/>
  <c r="K483" i="3"/>
  <c r="J483" i="3"/>
  <c r="I483" i="3"/>
  <c r="G483" i="3"/>
  <c r="F483" i="3"/>
  <c r="E483" i="3"/>
  <c r="C483" i="3"/>
  <c r="K480" i="3"/>
  <c r="J480" i="3"/>
  <c r="I480" i="3"/>
  <c r="G480" i="3"/>
  <c r="F480" i="3"/>
  <c r="E480" i="3"/>
  <c r="C480" i="3"/>
  <c r="K477" i="3"/>
  <c r="J477" i="3"/>
  <c r="I477" i="3"/>
  <c r="G477" i="3"/>
  <c r="F477" i="3"/>
  <c r="E477" i="3"/>
  <c r="C477" i="3"/>
  <c r="K474" i="3"/>
  <c r="J474" i="3"/>
  <c r="I474" i="3"/>
  <c r="G474" i="3"/>
  <c r="F474" i="3"/>
  <c r="E474" i="3"/>
  <c r="C474" i="3"/>
  <c r="K468" i="3"/>
  <c r="J468" i="3"/>
  <c r="I468" i="3"/>
  <c r="G468" i="3"/>
  <c r="F468" i="3"/>
  <c r="E468" i="3"/>
  <c r="C468" i="3"/>
  <c r="K463" i="3"/>
  <c r="J463" i="3"/>
  <c r="I463" i="3"/>
  <c r="G463" i="3"/>
  <c r="F463" i="3"/>
  <c r="E463" i="3"/>
  <c r="C463" i="3"/>
  <c r="K456" i="3"/>
  <c r="J456" i="3"/>
  <c r="I456" i="3"/>
  <c r="G456" i="3"/>
  <c r="F456" i="3"/>
  <c r="E456" i="3"/>
  <c r="C456" i="3"/>
  <c r="K451" i="3"/>
  <c r="J451" i="3"/>
  <c r="I451" i="3"/>
  <c r="G451" i="3"/>
  <c r="F451" i="3"/>
  <c r="E451" i="3"/>
  <c r="C451" i="3"/>
  <c r="K445" i="3"/>
  <c r="J445" i="3"/>
  <c r="I445" i="3"/>
  <c r="G445" i="3"/>
  <c r="F445" i="3"/>
  <c r="E445" i="3"/>
  <c r="C445" i="3"/>
  <c r="K442" i="3"/>
  <c r="J442" i="3"/>
  <c r="I442" i="3"/>
  <c r="G442" i="3"/>
  <c r="F442" i="3"/>
  <c r="E442" i="3"/>
  <c r="C442" i="3"/>
  <c r="K435" i="3"/>
  <c r="J435" i="3"/>
  <c r="I435" i="3"/>
  <c r="G435" i="3"/>
  <c r="F435" i="3"/>
  <c r="E435" i="3"/>
  <c r="C435" i="3"/>
  <c r="K432" i="3"/>
  <c r="J432" i="3"/>
  <c r="I432" i="3"/>
  <c r="G432" i="3"/>
  <c r="F432" i="3"/>
  <c r="E432" i="3"/>
  <c r="C432" i="3"/>
  <c r="BC25" i="22"/>
  <c r="AQ25" i="22"/>
  <c r="K61" i="21"/>
  <c r="J61" i="21"/>
  <c r="I61" i="21"/>
  <c r="H61" i="21"/>
  <c r="BD25" i="22" s="1"/>
  <c r="G61" i="21"/>
  <c r="F61" i="21"/>
  <c r="E61" i="21"/>
  <c r="D61" i="21"/>
  <c r="AR25" i="22" s="1"/>
  <c r="C61" i="21"/>
  <c r="K60" i="21"/>
  <c r="J60" i="21"/>
  <c r="I60" i="21"/>
  <c r="H60" i="21"/>
  <c r="BM25" i="22" s="1"/>
  <c r="G60" i="21"/>
  <c r="F60" i="21"/>
  <c r="E60" i="21"/>
  <c r="D60" i="21"/>
  <c r="BA25" i="22" s="1"/>
  <c r="C60" i="21"/>
  <c r="K59" i="21"/>
  <c r="J59" i="21"/>
  <c r="I59" i="21"/>
  <c r="H59" i="21"/>
  <c r="BL25" i="22" s="1"/>
  <c r="G59" i="21"/>
  <c r="F59" i="21"/>
  <c r="E59" i="21"/>
  <c r="D59" i="21"/>
  <c r="AZ25" i="22" s="1"/>
  <c r="C59" i="21"/>
  <c r="K58" i="21"/>
  <c r="J58" i="21"/>
  <c r="I58" i="21"/>
  <c r="H58" i="21"/>
  <c r="BK25" i="22" s="1"/>
  <c r="G58" i="21"/>
  <c r="F58" i="21"/>
  <c r="E58" i="21"/>
  <c r="D58" i="21"/>
  <c r="AY25" i="22" s="1"/>
  <c r="C58" i="21"/>
  <c r="K57" i="21"/>
  <c r="J57" i="21"/>
  <c r="I57" i="21"/>
  <c r="H57" i="21"/>
  <c r="BJ25" i="22" s="1"/>
  <c r="G57" i="21"/>
  <c r="F57" i="21"/>
  <c r="E57" i="21"/>
  <c r="D57" i="21"/>
  <c r="AX25" i="22" s="1"/>
  <c r="C57" i="21"/>
  <c r="K56" i="21"/>
  <c r="J56" i="21"/>
  <c r="I56" i="21"/>
  <c r="H56" i="21"/>
  <c r="BH25" i="22" s="1"/>
  <c r="G56" i="21"/>
  <c r="F56" i="21"/>
  <c r="E56" i="21"/>
  <c r="D56" i="21"/>
  <c r="AV25" i="22" s="1"/>
  <c r="C56" i="21"/>
  <c r="K55" i="21"/>
  <c r="J55" i="21"/>
  <c r="I55" i="21"/>
  <c r="H55" i="21"/>
  <c r="BG25" i="22" s="1"/>
  <c r="G55" i="21"/>
  <c r="F55" i="21"/>
  <c r="E55" i="21"/>
  <c r="D55" i="21"/>
  <c r="AU25" i="22" s="1"/>
  <c r="C55" i="21"/>
  <c r="K54" i="21"/>
  <c r="J54" i="21"/>
  <c r="I54" i="21"/>
  <c r="H54" i="21"/>
  <c r="BF25" i="22" s="1"/>
  <c r="G54" i="21"/>
  <c r="F54" i="21"/>
  <c r="E54" i="21"/>
  <c r="D54" i="21"/>
  <c r="AT25" i="22" s="1"/>
  <c r="C54" i="21"/>
  <c r="K6" i="21"/>
  <c r="K64" i="21" s="1"/>
  <c r="J6" i="21"/>
  <c r="J64" i="21" s="1"/>
  <c r="I6" i="21"/>
  <c r="G6" i="21"/>
  <c r="O24" i="4" s="1"/>
  <c r="F6" i="21"/>
  <c r="M24" i="4" s="1"/>
  <c r="L24" i="4"/>
  <c r="C6" i="21"/>
  <c r="C64" i="21" s="1"/>
  <c r="K156" i="20"/>
  <c r="J156" i="20"/>
  <c r="I156" i="20"/>
  <c r="H156" i="20"/>
  <c r="BC24" i="22" s="1"/>
  <c r="G156" i="20"/>
  <c r="F156" i="20"/>
  <c r="E156" i="20"/>
  <c r="D156" i="20"/>
  <c r="AQ24" i="22" s="1"/>
  <c r="BD24" i="22"/>
  <c r="AR24" i="22"/>
  <c r="K154" i="20"/>
  <c r="J154" i="20"/>
  <c r="I154" i="20"/>
  <c r="H154" i="20"/>
  <c r="BM24" i="22" s="1"/>
  <c r="G154" i="20"/>
  <c r="F154" i="20"/>
  <c r="E154" i="20"/>
  <c r="D154" i="20"/>
  <c r="BA24" i="22" s="1"/>
  <c r="C154" i="20"/>
  <c r="K153" i="20"/>
  <c r="J153" i="20"/>
  <c r="I153" i="20"/>
  <c r="H153" i="20"/>
  <c r="BL24" i="22" s="1"/>
  <c r="G153" i="20"/>
  <c r="F153" i="20"/>
  <c r="E153" i="20"/>
  <c r="D153" i="20"/>
  <c r="AZ24" i="22" s="1"/>
  <c r="C153" i="20"/>
  <c r="K152" i="20"/>
  <c r="J152" i="20"/>
  <c r="I152" i="20"/>
  <c r="H152" i="20"/>
  <c r="BK24" i="22" s="1"/>
  <c r="G152" i="20"/>
  <c r="F152" i="20"/>
  <c r="E152" i="20"/>
  <c r="D152" i="20"/>
  <c r="AY24" i="22" s="1"/>
  <c r="C152" i="20"/>
  <c r="K151" i="20"/>
  <c r="J151" i="20"/>
  <c r="I151" i="20"/>
  <c r="H151" i="20"/>
  <c r="BJ24" i="22" s="1"/>
  <c r="G151" i="20"/>
  <c r="F151" i="20"/>
  <c r="E151" i="20"/>
  <c r="D151" i="20"/>
  <c r="AX24" i="22" s="1"/>
  <c r="C151" i="20"/>
  <c r="K150" i="20"/>
  <c r="J150" i="20"/>
  <c r="I150" i="20"/>
  <c r="H150" i="20"/>
  <c r="BH24" i="22" s="1"/>
  <c r="G150" i="20"/>
  <c r="F150" i="20"/>
  <c r="E150" i="20"/>
  <c r="D150" i="20"/>
  <c r="AV24" i="22" s="1"/>
  <c r="C150" i="20"/>
  <c r="K149" i="20"/>
  <c r="J149" i="20"/>
  <c r="I149" i="20"/>
  <c r="H149" i="20"/>
  <c r="BG24" i="22" s="1"/>
  <c r="G149" i="20"/>
  <c r="F149" i="20"/>
  <c r="E149" i="20"/>
  <c r="D149" i="20"/>
  <c r="AU24" i="22" s="1"/>
  <c r="C149" i="20"/>
  <c r="K148" i="20"/>
  <c r="J148" i="20"/>
  <c r="I148" i="20"/>
  <c r="H148" i="20"/>
  <c r="BF24" i="22" s="1"/>
  <c r="G148" i="20"/>
  <c r="F148" i="20"/>
  <c r="E148" i="20"/>
  <c r="D148" i="20"/>
  <c r="AT24" i="22" s="1"/>
  <c r="C148" i="20"/>
  <c r="K141" i="20"/>
  <c r="J141" i="20"/>
  <c r="I141" i="20"/>
  <c r="G141" i="20"/>
  <c r="F141" i="20"/>
  <c r="E141" i="20"/>
  <c r="C141" i="20"/>
  <c r="K138" i="20"/>
  <c r="J138" i="20"/>
  <c r="I138" i="20"/>
  <c r="G138" i="20"/>
  <c r="F138" i="20"/>
  <c r="E138" i="20"/>
  <c r="C138" i="20"/>
  <c r="K134" i="20"/>
  <c r="J134" i="20"/>
  <c r="I134" i="20"/>
  <c r="G134" i="20"/>
  <c r="F134" i="20"/>
  <c r="E134" i="20"/>
  <c r="C134" i="20"/>
  <c r="K130" i="20"/>
  <c r="J130" i="20"/>
  <c r="I130" i="20"/>
  <c r="G130" i="20"/>
  <c r="F130" i="20"/>
  <c r="E130" i="20"/>
  <c r="C130" i="20"/>
  <c r="K113" i="20"/>
  <c r="J113" i="20"/>
  <c r="I113" i="20"/>
  <c r="G113" i="20"/>
  <c r="F113" i="20"/>
  <c r="E113" i="20"/>
  <c r="C113" i="20"/>
  <c r="K109" i="20"/>
  <c r="J109" i="20"/>
  <c r="I109" i="20"/>
  <c r="G109" i="20"/>
  <c r="F109" i="20"/>
  <c r="E109" i="20"/>
  <c r="C109" i="20"/>
  <c r="K105" i="20"/>
  <c r="J105" i="20"/>
  <c r="I105" i="20"/>
  <c r="G105" i="20"/>
  <c r="F105" i="20"/>
  <c r="E105" i="20"/>
  <c r="C105" i="20"/>
  <c r="K99" i="20"/>
  <c r="J99" i="20"/>
  <c r="I99" i="20"/>
  <c r="G99" i="20"/>
  <c r="F99" i="20"/>
  <c r="E99" i="20"/>
  <c r="C99" i="20"/>
  <c r="K95" i="20"/>
  <c r="J95" i="20"/>
  <c r="I95" i="20"/>
  <c r="G95" i="20"/>
  <c r="F95" i="20"/>
  <c r="E95" i="20"/>
  <c r="C95" i="20"/>
  <c r="K91" i="20"/>
  <c r="J91" i="20"/>
  <c r="I91" i="20"/>
  <c r="G91" i="20"/>
  <c r="F91" i="20"/>
  <c r="E91" i="20"/>
  <c r="C91" i="20"/>
  <c r="K86" i="20"/>
  <c r="J86" i="20"/>
  <c r="I86" i="20"/>
  <c r="G86" i="20"/>
  <c r="F86" i="20"/>
  <c r="E86" i="20"/>
  <c r="C86" i="20"/>
  <c r="K83" i="20"/>
  <c r="J83" i="20"/>
  <c r="I83" i="20"/>
  <c r="G83" i="20"/>
  <c r="F83" i="20"/>
  <c r="E83" i="20"/>
  <c r="C83" i="20"/>
  <c r="K79" i="20"/>
  <c r="J79" i="20"/>
  <c r="I79" i="20"/>
  <c r="G79" i="20"/>
  <c r="F79" i="20"/>
  <c r="E79" i="20"/>
  <c r="C79" i="20"/>
  <c r="K75" i="20"/>
  <c r="J75" i="20"/>
  <c r="I75" i="20"/>
  <c r="G75" i="20"/>
  <c r="F75" i="20"/>
  <c r="E75" i="20"/>
  <c r="C75" i="20"/>
  <c r="K71" i="20"/>
  <c r="J71" i="20"/>
  <c r="I71" i="20"/>
  <c r="G71" i="20"/>
  <c r="F71" i="20"/>
  <c r="E71" i="20"/>
  <c r="C71" i="20"/>
  <c r="K67" i="20"/>
  <c r="J67" i="20"/>
  <c r="I67" i="20"/>
  <c r="G67" i="20"/>
  <c r="F67" i="20"/>
  <c r="E67" i="20"/>
  <c r="C67" i="20"/>
  <c r="K63" i="20"/>
  <c r="J63" i="20"/>
  <c r="I63" i="20"/>
  <c r="G63" i="20"/>
  <c r="F63" i="20"/>
  <c r="E63" i="20"/>
  <c r="C63" i="20"/>
  <c r="K59" i="20"/>
  <c r="J59" i="20"/>
  <c r="I59" i="20"/>
  <c r="G59" i="20"/>
  <c r="F59" i="20"/>
  <c r="E59" i="20"/>
  <c r="C59" i="20"/>
  <c r="K55" i="20"/>
  <c r="J55" i="20"/>
  <c r="I55" i="20"/>
  <c r="G55" i="20"/>
  <c r="F55" i="20"/>
  <c r="E55" i="20"/>
  <c r="C55" i="20"/>
  <c r="K51" i="20"/>
  <c r="J51" i="20"/>
  <c r="I51" i="20"/>
  <c r="G51" i="20"/>
  <c r="F51" i="20"/>
  <c r="E51" i="20"/>
  <c r="C51" i="20"/>
  <c r="K47" i="20"/>
  <c r="J47" i="20"/>
  <c r="I47" i="20"/>
  <c r="G47" i="20"/>
  <c r="F47" i="20"/>
  <c r="E47" i="20"/>
  <c r="C47" i="20"/>
  <c r="K43" i="20"/>
  <c r="J43" i="20"/>
  <c r="I43" i="20"/>
  <c r="G43" i="20"/>
  <c r="F43" i="20"/>
  <c r="E43" i="20"/>
  <c r="C43" i="20"/>
  <c r="K39" i="20"/>
  <c r="J39" i="20"/>
  <c r="I39" i="20"/>
  <c r="G39" i="20"/>
  <c r="F39" i="20"/>
  <c r="E39" i="20"/>
  <c r="C39" i="20"/>
  <c r="K36" i="20"/>
  <c r="J36" i="20"/>
  <c r="I36" i="20"/>
  <c r="G36" i="20"/>
  <c r="F36" i="20"/>
  <c r="E36" i="20"/>
  <c r="C36" i="20"/>
  <c r="K33" i="20"/>
  <c r="J33" i="20"/>
  <c r="I33" i="20"/>
  <c r="G33" i="20"/>
  <c r="F33" i="20"/>
  <c r="E33" i="20"/>
  <c r="C33" i="20"/>
  <c r="K30" i="20"/>
  <c r="J30" i="20"/>
  <c r="I30" i="20"/>
  <c r="G30" i="20"/>
  <c r="F30" i="20"/>
  <c r="E30" i="20"/>
  <c r="C30" i="20"/>
  <c r="K27" i="20"/>
  <c r="J27" i="20"/>
  <c r="I27" i="20"/>
  <c r="G27" i="20"/>
  <c r="F27" i="20"/>
  <c r="E27" i="20"/>
  <c r="C27" i="20"/>
  <c r="K23" i="20"/>
  <c r="J23" i="20"/>
  <c r="I23" i="20"/>
  <c r="G23" i="20"/>
  <c r="F23" i="20"/>
  <c r="E23" i="20"/>
  <c r="C23" i="20"/>
  <c r="K15" i="20"/>
  <c r="J15" i="20"/>
  <c r="I15" i="20"/>
  <c r="G15" i="20"/>
  <c r="F15" i="20"/>
  <c r="E15" i="20"/>
  <c r="C15" i="20"/>
  <c r="K11" i="20"/>
  <c r="J11" i="20"/>
  <c r="I11" i="20"/>
  <c r="G11" i="20"/>
  <c r="F11" i="20"/>
  <c r="E11" i="20"/>
  <c r="C11" i="20"/>
  <c r="K7" i="20"/>
  <c r="J7" i="20"/>
  <c r="I7" i="20"/>
  <c r="G7" i="20"/>
  <c r="F7" i="20"/>
  <c r="E7" i="20"/>
  <c r="C7" i="20"/>
  <c r="BK23" i="22"/>
  <c r="AY23" i="22"/>
  <c r="K135" i="19"/>
  <c r="J135" i="19"/>
  <c r="I135" i="19"/>
  <c r="H135" i="19"/>
  <c r="BH23" i="22" s="1"/>
  <c r="G135" i="19"/>
  <c r="F135" i="19"/>
  <c r="E135" i="19"/>
  <c r="C135" i="19"/>
  <c r="K134" i="19"/>
  <c r="J134" i="19"/>
  <c r="I134" i="19"/>
  <c r="H134" i="19"/>
  <c r="BG23" i="22" s="1"/>
  <c r="G134" i="19"/>
  <c r="F134" i="19"/>
  <c r="E134" i="19"/>
  <c r="C134" i="19"/>
  <c r="K133" i="19"/>
  <c r="J133" i="19"/>
  <c r="I133" i="19"/>
  <c r="H133" i="19"/>
  <c r="BF23" i="22" s="1"/>
  <c r="G133" i="19"/>
  <c r="F133" i="19"/>
  <c r="E133" i="19"/>
  <c r="C133" i="19"/>
  <c r="K132" i="19"/>
  <c r="J132" i="19"/>
  <c r="H132" i="19"/>
  <c r="BE23" i="22" s="1"/>
  <c r="G132" i="19"/>
  <c r="F132" i="19"/>
  <c r="E132" i="19"/>
  <c r="C132" i="19"/>
  <c r="K121" i="19"/>
  <c r="J121" i="19"/>
  <c r="I121" i="19"/>
  <c r="G121" i="19"/>
  <c r="F121" i="19"/>
  <c r="E121" i="19"/>
  <c r="C121" i="19"/>
  <c r="K118" i="19"/>
  <c r="J118" i="19"/>
  <c r="I118" i="19"/>
  <c r="G118" i="19"/>
  <c r="F118" i="19"/>
  <c r="E118" i="19"/>
  <c r="C118" i="19"/>
  <c r="K115" i="19"/>
  <c r="J115" i="19"/>
  <c r="I115" i="19"/>
  <c r="G115" i="19"/>
  <c r="F115" i="19"/>
  <c r="E115" i="19"/>
  <c r="C115" i="19"/>
  <c r="K112" i="19"/>
  <c r="J112" i="19"/>
  <c r="I112" i="19"/>
  <c r="G112" i="19"/>
  <c r="F112" i="19"/>
  <c r="E112" i="19"/>
  <c r="C112" i="19"/>
  <c r="K109" i="19"/>
  <c r="J109" i="19"/>
  <c r="I109" i="19"/>
  <c r="G109" i="19"/>
  <c r="F109" i="19"/>
  <c r="E109" i="19"/>
  <c r="C109" i="19"/>
  <c r="K106" i="19"/>
  <c r="J106" i="19"/>
  <c r="I106" i="19"/>
  <c r="G106" i="19"/>
  <c r="F106" i="19"/>
  <c r="E106" i="19"/>
  <c r="C106" i="19"/>
  <c r="K103" i="19"/>
  <c r="J103" i="19"/>
  <c r="I103" i="19"/>
  <c r="C103" i="19"/>
  <c r="K100" i="19"/>
  <c r="J100" i="19"/>
  <c r="I100" i="19"/>
  <c r="G100" i="19"/>
  <c r="F100" i="19"/>
  <c r="E100" i="19"/>
  <c r="C100" i="19"/>
  <c r="K97" i="19"/>
  <c r="J97" i="19"/>
  <c r="I97" i="19"/>
  <c r="G97" i="19"/>
  <c r="F97" i="19"/>
  <c r="E97" i="19"/>
  <c r="C97" i="19"/>
  <c r="K94" i="19"/>
  <c r="J94" i="19"/>
  <c r="I94" i="19"/>
  <c r="G94" i="19"/>
  <c r="F94" i="19"/>
  <c r="C94" i="19"/>
  <c r="K91" i="19"/>
  <c r="J91" i="19"/>
  <c r="I91" i="19"/>
  <c r="G91" i="19"/>
  <c r="F91" i="19"/>
  <c r="E91" i="19"/>
  <c r="C91" i="19"/>
  <c r="K83" i="19"/>
  <c r="J83" i="19"/>
  <c r="I83" i="19"/>
  <c r="G83" i="19"/>
  <c r="F83" i="19"/>
  <c r="E83" i="19"/>
  <c r="C83" i="19"/>
  <c r="K76" i="19"/>
  <c r="J76" i="19"/>
  <c r="I76" i="19"/>
  <c r="G76" i="19"/>
  <c r="F76" i="19"/>
  <c r="E76" i="19"/>
  <c r="C76" i="19"/>
  <c r="G73" i="19"/>
  <c r="F73" i="19"/>
  <c r="E73" i="19"/>
  <c r="C73" i="19"/>
  <c r="G69" i="19"/>
  <c r="F69" i="19"/>
  <c r="E69" i="19"/>
  <c r="C69" i="19"/>
  <c r="K65" i="19"/>
  <c r="J65" i="19"/>
  <c r="I65" i="19"/>
  <c r="G65" i="19"/>
  <c r="F65" i="19"/>
  <c r="E65" i="19"/>
  <c r="C65" i="19"/>
  <c r="K57" i="19"/>
  <c r="J57" i="19"/>
  <c r="I57" i="19"/>
  <c r="G57" i="19"/>
  <c r="F57" i="19"/>
  <c r="E57" i="19"/>
  <c r="C57" i="19"/>
  <c r="K45" i="19"/>
  <c r="J45" i="19"/>
  <c r="I45" i="19"/>
  <c r="G45" i="19"/>
  <c r="F45" i="19"/>
  <c r="E45" i="19"/>
  <c r="C45" i="19"/>
  <c r="K42" i="19"/>
  <c r="J42" i="19"/>
  <c r="I42" i="19"/>
  <c r="G42" i="19"/>
  <c r="F42" i="19"/>
  <c r="E42" i="19"/>
  <c r="C42" i="19"/>
  <c r="K34" i="19"/>
  <c r="J34" i="19"/>
  <c r="I34" i="19"/>
  <c r="C34" i="19"/>
  <c r="K31" i="19"/>
  <c r="J31" i="19"/>
  <c r="I31" i="19"/>
  <c r="G31" i="19"/>
  <c r="F31" i="19"/>
  <c r="E31" i="19"/>
  <c r="C31" i="19"/>
  <c r="K28" i="19"/>
  <c r="J28" i="19"/>
  <c r="I28" i="19"/>
  <c r="G28" i="19"/>
  <c r="F28" i="19"/>
  <c r="E28" i="19"/>
  <c r="C28" i="19"/>
  <c r="K25" i="19"/>
  <c r="J25" i="19"/>
  <c r="I25" i="19"/>
  <c r="G25" i="19"/>
  <c r="F25" i="19"/>
  <c r="E25" i="19"/>
  <c r="C25" i="19"/>
  <c r="K22" i="19"/>
  <c r="J22" i="19"/>
  <c r="I22" i="19"/>
  <c r="G22" i="19"/>
  <c r="F22" i="19"/>
  <c r="E22" i="19"/>
  <c r="C22" i="19"/>
  <c r="K19" i="19"/>
  <c r="J19" i="19"/>
  <c r="I19" i="19"/>
  <c r="G19" i="19"/>
  <c r="F19" i="19"/>
  <c r="E19" i="19"/>
  <c r="C19" i="19"/>
  <c r="K16" i="19"/>
  <c r="J16" i="19"/>
  <c r="I16" i="19"/>
  <c r="G16" i="19"/>
  <c r="F16" i="19"/>
  <c r="E16" i="19"/>
  <c r="C16" i="19"/>
  <c r="K13" i="19"/>
  <c r="J13" i="19"/>
  <c r="I13" i="19"/>
  <c r="G13" i="19"/>
  <c r="F13" i="19"/>
  <c r="E13" i="19"/>
  <c r="C13" i="19"/>
  <c r="K10" i="19"/>
  <c r="J10" i="19"/>
  <c r="I10" i="19"/>
  <c r="G10" i="19"/>
  <c r="F10" i="19"/>
  <c r="E10" i="19"/>
  <c r="C10" i="19"/>
  <c r="K7" i="19"/>
  <c r="J7" i="19"/>
  <c r="I7" i="19"/>
  <c r="BD22" i="22"/>
  <c r="AR22" i="22"/>
  <c r="BK22" i="22"/>
  <c r="G132" i="18"/>
  <c r="F132" i="18"/>
  <c r="E132" i="18"/>
  <c r="D132" i="18"/>
  <c r="AY22" i="22" s="1"/>
  <c r="C132" i="18"/>
  <c r="BJ22" i="22"/>
  <c r="G131" i="18"/>
  <c r="F131" i="18"/>
  <c r="E131" i="18"/>
  <c r="C131" i="18"/>
  <c r="BH22" i="22"/>
  <c r="G130" i="18"/>
  <c r="F130" i="18"/>
  <c r="E130" i="18"/>
  <c r="D130" i="18"/>
  <c r="AV22" i="22" s="1"/>
  <c r="C130" i="18"/>
  <c r="BG22" i="22"/>
  <c r="G129" i="18"/>
  <c r="F129" i="18"/>
  <c r="E129" i="18"/>
  <c r="D129" i="18"/>
  <c r="AU22" i="22" s="1"/>
  <c r="C129" i="18"/>
  <c r="BF22" i="22"/>
  <c r="G128" i="18"/>
  <c r="F128" i="18"/>
  <c r="E128" i="18"/>
  <c r="D128" i="18"/>
  <c r="AT22" i="22" s="1"/>
  <c r="C128" i="18"/>
  <c r="BE22" i="22"/>
  <c r="G127" i="18"/>
  <c r="F127" i="18"/>
  <c r="E127" i="18"/>
  <c r="D127" i="18"/>
  <c r="AS22" i="22" s="1"/>
  <c r="C127" i="18"/>
  <c r="K121" i="18"/>
  <c r="J121" i="18"/>
  <c r="I121" i="18"/>
  <c r="G121" i="18"/>
  <c r="F121" i="18"/>
  <c r="E121" i="18"/>
  <c r="C121" i="18"/>
  <c r="K117" i="18"/>
  <c r="J117" i="18"/>
  <c r="I117" i="18"/>
  <c r="G117" i="18"/>
  <c r="F117" i="18"/>
  <c r="E117" i="18"/>
  <c r="C117" i="18"/>
  <c r="K111" i="18"/>
  <c r="J111" i="18"/>
  <c r="I111" i="18"/>
  <c r="G111" i="18"/>
  <c r="F111" i="18"/>
  <c r="E111" i="18"/>
  <c r="C111" i="18"/>
  <c r="K105" i="18"/>
  <c r="J105" i="18"/>
  <c r="I105" i="18"/>
  <c r="G105" i="18"/>
  <c r="F105" i="18"/>
  <c r="E105" i="18"/>
  <c r="C105" i="18"/>
  <c r="K101" i="18"/>
  <c r="J101" i="18"/>
  <c r="I101" i="18"/>
  <c r="G101" i="18"/>
  <c r="F101" i="18"/>
  <c r="E101" i="18"/>
  <c r="C101" i="18"/>
  <c r="K89" i="18"/>
  <c r="J89" i="18"/>
  <c r="I89" i="18"/>
  <c r="G89" i="18"/>
  <c r="F89" i="18"/>
  <c r="E89" i="18"/>
  <c r="C89" i="18"/>
  <c r="K83" i="18"/>
  <c r="J83" i="18"/>
  <c r="I83" i="18"/>
  <c r="G83" i="18"/>
  <c r="F83" i="18"/>
  <c r="E83" i="18"/>
  <c r="C83" i="18"/>
  <c r="K79" i="18"/>
  <c r="J79" i="18"/>
  <c r="I79" i="18"/>
  <c r="G79" i="18"/>
  <c r="F79" i="18"/>
  <c r="E79" i="18"/>
  <c r="C79" i="18"/>
  <c r="K71" i="18"/>
  <c r="J71" i="18"/>
  <c r="I71" i="18"/>
  <c r="G71" i="18"/>
  <c r="F71" i="18"/>
  <c r="E71" i="18"/>
  <c r="C71" i="18"/>
  <c r="K67" i="18"/>
  <c r="J67" i="18"/>
  <c r="I67" i="18"/>
  <c r="G67" i="18"/>
  <c r="F67" i="18"/>
  <c r="E67" i="18"/>
  <c r="C67" i="18"/>
  <c r="K59" i="18"/>
  <c r="J59" i="18"/>
  <c r="I59" i="18"/>
  <c r="G59" i="18"/>
  <c r="F59" i="18"/>
  <c r="E59" i="18"/>
  <c r="C59" i="18"/>
  <c r="K50" i="18"/>
  <c r="J50" i="18"/>
  <c r="I50" i="18"/>
  <c r="G50" i="18"/>
  <c r="F50" i="18"/>
  <c r="E50" i="18"/>
  <c r="C50" i="18"/>
  <c r="K41" i="18"/>
  <c r="J41" i="18"/>
  <c r="I41" i="18"/>
  <c r="G41" i="18"/>
  <c r="F41" i="18"/>
  <c r="E41" i="18"/>
  <c r="C41" i="18"/>
  <c r="K32" i="18"/>
  <c r="J32" i="18"/>
  <c r="I32" i="18"/>
  <c r="G32" i="18"/>
  <c r="F32" i="18"/>
  <c r="E32" i="18"/>
  <c r="C32" i="18"/>
  <c r="K24" i="18"/>
  <c r="J24" i="18"/>
  <c r="I24" i="18"/>
  <c r="G24" i="18"/>
  <c r="F24" i="18"/>
  <c r="E24" i="18"/>
  <c r="C24" i="18"/>
  <c r="K21" i="18"/>
  <c r="J21" i="18"/>
  <c r="I21" i="18"/>
  <c r="G21" i="18"/>
  <c r="F21" i="18"/>
  <c r="E21" i="18"/>
  <c r="C21" i="18"/>
  <c r="K17" i="18"/>
  <c r="J17" i="18"/>
  <c r="I17" i="18"/>
  <c r="G17" i="18"/>
  <c r="F17" i="18"/>
  <c r="E17" i="18"/>
  <c r="C17" i="18"/>
  <c r="K14" i="18"/>
  <c r="J14" i="18"/>
  <c r="I14" i="18"/>
  <c r="G14" i="18"/>
  <c r="F14" i="18"/>
  <c r="E14" i="18"/>
  <c r="C14" i="18"/>
  <c r="K10" i="18"/>
  <c r="J10" i="18"/>
  <c r="I10" i="18"/>
  <c r="G10" i="18"/>
  <c r="F10" i="18"/>
  <c r="E10" i="18"/>
  <c r="C10" i="18"/>
  <c r="K7" i="18"/>
  <c r="J7" i="18"/>
  <c r="I7" i="18"/>
  <c r="G7" i="18"/>
  <c r="F7" i="18"/>
  <c r="E7" i="18"/>
  <c r="C7" i="18"/>
  <c r="BK21" i="22"/>
  <c r="AY21" i="22"/>
  <c r="K90" i="17"/>
  <c r="J90" i="17"/>
  <c r="I90" i="17"/>
  <c r="G90" i="17"/>
  <c r="F90" i="17"/>
  <c r="E90" i="17"/>
  <c r="D90" i="17"/>
  <c r="AX21" i="22" s="1"/>
  <c r="C90" i="17"/>
  <c r="K79" i="17"/>
  <c r="J79" i="17"/>
  <c r="I79" i="17"/>
  <c r="G79" i="17"/>
  <c r="F79" i="17"/>
  <c r="E79" i="17"/>
  <c r="C79" i="17"/>
  <c r="K67" i="17"/>
  <c r="J67" i="17"/>
  <c r="I67" i="17"/>
  <c r="G67" i="17"/>
  <c r="F67" i="17"/>
  <c r="E67" i="17"/>
  <c r="C67" i="17"/>
  <c r="K61" i="17"/>
  <c r="J61" i="17"/>
  <c r="I61" i="17"/>
  <c r="G61" i="17"/>
  <c r="F61" i="17"/>
  <c r="E61" i="17"/>
  <c r="C61" i="17"/>
  <c r="K58" i="17"/>
  <c r="J58" i="17"/>
  <c r="I58" i="17"/>
  <c r="G58" i="17"/>
  <c r="F58" i="17"/>
  <c r="E58" i="17"/>
  <c r="C58" i="17"/>
  <c r="K55" i="17"/>
  <c r="J55" i="17"/>
  <c r="I55" i="17"/>
  <c r="G55" i="17"/>
  <c r="F55" i="17"/>
  <c r="E55" i="17"/>
  <c r="C55" i="17"/>
  <c r="K52" i="17"/>
  <c r="J52" i="17"/>
  <c r="I52" i="17"/>
  <c r="G52" i="17"/>
  <c r="F52" i="17"/>
  <c r="E52" i="17"/>
  <c r="C52" i="17"/>
  <c r="K50" i="17"/>
  <c r="J50" i="17"/>
  <c r="I50" i="17"/>
  <c r="G50" i="17"/>
  <c r="F50" i="17"/>
  <c r="E50" i="17"/>
  <c r="C50" i="17"/>
  <c r="H43" i="17"/>
  <c r="F43" i="17"/>
  <c r="F41" i="17" s="1"/>
  <c r="E43" i="17"/>
  <c r="E41" i="17" s="1"/>
  <c r="H42" i="17"/>
  <c r="H40" i="17"/>
  <c r="F40" i="17"/>
  <c r="F36" i="17" s="1"/>
  <c r="E40" i="17"/>
  <c r="H39" i="17"/>
  <c r="H38" i="17"/>
  <c r="H37" i="17"/>
  <c r="K36" i="17"/>
  <c r="J36" i="17"/>
  <c r="I36" i="17"/>
  <c r="C36" i="17"/>
  <c r="H35" i="17"/>
  <c r="F35" i="17"/>
  <c r="F33" i="17" s="1"/>
  <c r="E35" i="17"/>
  <c r="H34" i="17"/>
  <c r="K20" i="17"/>
  <c r="J20" i="17"/>
  <c r="I20" i="17"/>
  <c r="G20" i="17"/>
  <c r="F20" i="17"/>
  <c r="E20" i="17"/>
  <c r="C20" i="17"/>
  <c r="H18" i="17"/>
  <c r="F18" i="17"/>
  <c r="H17" i="17"/>
  <c r="H16" i="17"/>
  <c r="H15" i="17"/>
  <c r="H14" i="17"/>
  <c r="K91" i="16"/>
  <c r="J91" i="16"/>
  <c r="I91" i="16"/>
  <c r="H91" i="16"/>
  <c r="BM20" i="22" s="1"/>
  <c r="G91" i="16"/>
  <c r="F91" i="16"/>
  <c r="E91" i="16"/>
  <c r="D91" i="16"/>
  <c r="BA20" i="22" s="1"/>
  <c r="C91" i="16"/>
  <c r="K90" i="16"/>
  <c r="J90" i="16"/>
  <c r="I90" i="16"/>
  <c r="H90" i="16"/>
  <c r="BK20" i="22" s="1"/>
  <c r="G90" i="16"/>
  <c r="F90" i="16"/>
  <c r="E90" i="16"/>
  <c r="D90" i="16"/>
  <c r="AY20" i="22" s="1"/>
  <c r="C90" i="16"/>
  <c r="K88" i="16"/>
  <c r="J88" i="16"/>
  <c r="I88" i="16"/>
  <c r="H88" i="16"/>
  <c r="BH20" i="22" s="1"/>
  <c r="G88" i="16"/>
  <c r="F88" i="16"/>
  <c r="E88" i="16"/>
  <c r="D88" i="16"/>
  <c r="AV20" i="22" s="1"/>
  <c r="C88" i="16"/>
  <c r="K87" i="16"/>
  <c r="J87" i="16"/>
  <c r="I87" i="16"/>
  <c r="H87" i="16"/>
  <c r="BF20" i="22" s="1"/>
  <c r="G87" i="16"/>
  <c r="F87" i="16"/>
  <c r="E87" i="16"/>
  <c r="D87" i="16"/>
  <c r="AT20" i="22" s="1"/>
  <c r="C87" i="16"/>
  <c r="K81" i="16"/>
  <c r="J81" i="16"/>
  <c r="I81" i="16"/>
  <c r="G81" i="16"/>
  <c r="F81" i="16"/>
  <c r="E81" i="16"/>
  <c r="C81" i="16"/>
  <c r="K75" i="16"/>
  <c r="J75" i="16"/>
  <c r="I75" i="16"/>
  <c r="G75" i="16"/>
  <c r="F75" i="16"/>
  <c r="E75" i="16"/>
  <c r="C75" i="16"/>
  <c r="K72" i="16"/>
  <c r="J72" i="16"/>
  <c r="I72" i="16"/>
  <c r="G72" i="16"/>
  <c r="F72" i="16"/>
  <c r="E72" i="16"/>
  <c r="C72" i="16"/>
  <c r="K69" i="16"/>
  <c r="J69" i="16"/>
  <c r="I69" i="16"/>
  <c r="G69" i="16"/>
  <c r="F69" i="16"/>
  <c r="E69" i="16"/>
  <c r="C69" i="16"/>
  <c r="K66" i="16"/>
  <c r="J66" i="16"/>
  <c r="I66" i="16"/>
  <c r="G66" i="16"/>
  <c r="F66" i="16"/>
  <c r="E66" i="16"/>
  <c r="C66" i="16"/>
  <c r="K63" i="16"/>
  <c r="J63" i="16"/>
  <c r="I63" i="16"/>
  <c r="G63" i="16"/>
  <c r="F63" i="16"/>
  <c r="E63" i="16"/>
  <c r="C63" i="16"/>
  <c r="K61" i="16"/>
  <c r="J61" i="16"/>
  <c r="I61" i="16"/>
  <c r="G61" i="16"/>
  <c r="F61" i="16"/>
  <c r="E61" i="16"/>
  <c r="C61" i="16"/>
  <c r="K59" i="16"/>
  <c r="J59" i="16"/>
  <c r="I59" i="16"/>
  <c r="G59" i="16"/>
  <c r="F59" i="16"/>
  <c r="E59" i="16"/>
  <c r="C59" i="16"/>
  <c r="K57" i="16"/>
  <c r="J57" i="16"/>
  <c r="I57" i="16"/>
  <c r="G57" i="16"/>
  <c r="F57" i="16"/>
  <c r="E57" i="16"/>
  <c r="C57" i="16"/>
  <c r="K54" i="16"/>
  <c r="J54" i="16"/>
  <c r="I54" i="16"/>
  <c r="G54" i="16"/>
  <c r="F54" i="16"/>
  <c r="E54" i="16"/>
  <c r="C54" i="16"/>
  <c r="K51" i="16"/>
  <c r="J51" i="16"/>
  <c r="I51" i="16"/>
  <c r="G51" i="16"/>
  <c r="F51" i="16"/>
  <c r="E51" i="16"/>
  <c r="C51" i="16"/>
  <c r="K49" i="16"/>
  <c r="J49" i="16"/>
  <c r="I49" i="16"/>
  <c r="G49" i="16"/>
  <c r="F49" i="16"/>
  <c r="E49" i="16"/>
  <c r="C49" i="16"/>
  <c r="K46" i="16"/>
  <c r="J46" i="16"/>
  <c r="I46" i="16"/>
  <c r="G46" i="16"/>
  <c r="F46" i="16"/>
  <c r="E46" i="16"/>
  <c r="C46" i="16"/>
  <c r="K43" i="16"/>
  <c r="J43" i="16"/>
  <c r="I43" i="16"/>
  <c r="G43" i="16"/>
  <c r="F43" i="16"/>
  <c r="E43" i="16"/>
  <c r="C43" i="16"/>
  <c r="K40" i="16"/>
  <c r="J40" i="16"/>
  <c r="I40" i="16"/>
  <c r="G40" i="16"/>
  <c r="F40" i="16"/>
  <c r="E40" i="16"/>
  <c r="C40" i="16"/>
  <c r="K37" i="16"/>
  <c r="J37" i="16"/>
  <c r="I37" i="16"/>
  <c r="G37" i="16"/>
  <c r="F37" i="16"/>
  <c r="E37" i="16"/>
  <c r="C37" i="16"/>
  <c r="K34" i="16"/>
  <c r="J34" i="16"/>
  <c r="I34" i="16"/>
  <c r="G34" i="16"/>
  <c r="F34" i="16"/>
  <c r="E34" i="16"/>
  <c r="C34" i="16"/>
  <c r="K31" i="16"/>
  <c r="J31" i="16"/>
  <c r="I31" i="16"/>
  <c r="G31" i="16"/>
  <c r="F31" i="16"/>
  <c r="E31" i="16"/>
  <c r="C31" i="16"/>
  <c r="K28" i="16"/>
  <c r="I28" i="16"/>
  <c r="G28" i="16"/>
  <c r="F28" i="16"/>
  <c r="E28" i="16"/>
  <c r="C28" i="16"/>
  <c r="K25" i="16"/>
  <c r="J25" i="16"/>
  <c r="I25" i="16"/>
  <c r="G25" i="16"/>
  <c r="F25" i="16"/>
  <c r="E25" i="16"/>
  <c r="C25" i="16"/>
  <c r="K22" i="16"/>
  <c r="J22" i="16"/>
  <c r="I22" i="16"/>
  <c r="G22" i="16"/>
  <c r="F22" i="16"/>
  <c r="E22" i="16"/>
  <c r="C22" i="16"/>
  <c r="K19" i="16"/>
  <c r="J19" i="16"/>
  <c r="I19" i="16"/>
  <c r="G19" i="16"/>
  <c r="F19" i="16"/>
  <c r="E19" i="16"/>
  <c r="C19" i="16"/>
  <c r="K16" i="16"/>
  <c r="J16" i="16"/>
  <c r="I16" i="16"/>
  <c r="G16" i="16"/>
  <c r="F16" i="16"/>
  <c r="E16" i="16"/>
  <c r="C16" i="16"/>
  <c r="K13" i="16"/>
  <c r="J13" i="16"/>
  <c r="I13" i="16"/>
  <c r="G13" i="16"/>
  <c r="F13" i="16"/>
  <c r="E13" i="16"/>
  <c r="C13" i="16"/>
  <c r="K10" i="16"/>
  <c r="J10" i="16"/>
  <c r="I10" i="16"/>
  <c r="G10" i="16"/>
  <c r="F10" i="16"/>
  <c r="E10" i="16"/>
  <c r="C10" i="16"/>
  <c r="K7" i="16"/>
  <c r="J7" i="16"/>
  <c r="I7" i="16"/>
  <c r="G7" i="16"/>
  <c r="F7" i="16"/>
  <c r="E7" i="16"/>
  <c r="C7" i="16"/>
  <c r="K101" i="2"/>
  <c r="J101" i="2"/>
  <c r="I101" i="2"/>
  <c r="H101" i="2"/>
  <c r="BC19" i="22" s="1"/>
  <c r="G101" i="2"/>
  <c r="F101" i="2"/>
  <c r="E101" i="2"/>
  <c r="D101" i="2"/>
  <c r="AQ19" i="22" s="1"/>
  <c r="K100" i="2"/>
  <c r="J100" i="2"/>
  <c r="I100" i="2"/>
  <c r="H100" i="2"/>
  <c r="BJ19" i="22" s="1"/>
  <c r="G100" i="2"/>
  <c r="F100" i="2"/>
  <c r="K94" i="2"/>
  <c r="J94" i="2"/>
  <c r="I94" i="2"/>
  <c r="C94" i="2"/>
  <c r="K91" i="2"/>
  <c r="J91" i="2"/>
  <c r="I91" i="2"/>
  <c r="C91" i="2"/>
  <c r="K88" i="2"/>
  <c r="J88" i="2"/>
  <c r="I88" i="2"/>
  <c r="C88" i="2"/>
  <c r="K85" i="2"/>
  <c r="J85" i="2"/>
  <c r="I85" i="2"/>
  <c r="G85" i="2"/>
  <c r="F85" i="2"/>
  <c r="E85" i="2"/>
  <c r="C85" i="2"/>
  <c r="K82" i="2"/>
  <c r="J82" i="2"/>
  <c r="I82" i="2"/>
  <c r="G82" i="2"/>
  <c r="F82" i="2"/>
  <c r="E82" i="2"/>
  <c r="C82" i="2"/>
  <c r="K80" i="2"/>
  <c r="J80" i="2"/>
  <c r="I80" i="2"/>
  <c r="G80" i="2"/>
  <c r="F80" i="2"/>
  <c r="E80" i="2"/>
  <c r="K77" i="2"/>
  <c r="J77" i="2"/>
  <c r="I77" i="2"/>
  <c r="C77" i="2"/>
  <c r="K74" i="2"/>
  <c r="J74" i="2"/>
  <c r="I74" i="2"/>
  <c r="C74" i="2"/>
  <c r="K72" i="2"/>
  <c r="J72" i="2"/>
  <c r="I72" i="2"/>
  <c r="G72" i="2"/>
  <c r="F72" i="2"/>
  <c r="E72" i="2"/>
  <c r="C72" i="2"/>
  <c r="K69" i="2"/>
  <c r="J69" i="2"/>
  <c r="I69" i="2"/>
  <c r="G69" i="2"/>
  <c r="F69" i="2"/>
  <c r="E69" i="2"/>
  <c r="C69" i="2"/>
  <c r="K66" i="2"/>
  <c r="J66" i="2"/>
  <c r="I66" i="2"/>
  <c r="C66" i="2"/>
  <c r="K63" i="2"/>
  <c r="J63" i="2"/>
  <c r="I63" i="2"/>
  <c r="C63" i="2"/>
  <c r="K60" i="2"/>
  <c r="J60" i="2"/>
  <c r="I60" i="2"/>
  <c r="C60" i="2"/>
  <c r="K57" i="2"/>
  <c r="J57" i="2"/>
  <c r="I57" i="2"/>
  <c r="C57" i="2"/>
  <c r="K54" i="2"/>
  <c r="J54" i="2"/>
  <c r="I54" i="2"/>
  <c r="G54" i="2"/>
  <c r="F54" i="2"/>
  <c r="E54" i="2"/>
  <c r="C54" i="2"/>
  <c r="K52" i="2"/>
  <c r="J52" i="2"/>
  <c r="I52" i="2"/>
  <c r="C52" i="2"/>
  <c r="K49" i="2"/>
  <c r="J49" i="2"/>
  <c r="I49" i="2"/>
  <c r="C49" i="2"/>
  <c r="K47" i="2"/>
  <c r="J47" i="2"/>
  <c r="I47" i="2"/>
  <c r="G47" i="2"/>
  <c r="F47" i="2"/>
  <c r="E47" i="2"/>
  <c r="C47" i="2"/>
  <c r="K44" i="2"/>
  <c r="J44" i="2"/>
  <c r="I44" i="2"/>
  <c r="C44" i="2"/>
  <c r="K42" i="2"/>
  <c r="J42" i="2"/>
  <c r="I42" i="2"/>
  <c r="G42" i="2"/>
  <c r="F42" i="2"/>
  <c r="E42" i="2"/>
  <c r="C42" i="2"/>
  <c r="K40" i="2"/>
  <c r="J40" i="2"/>
  <c r="I40" i="2"/>
  <c r="G40" i="2"/>
  <c r="F40" i="2"/>
  <c r="E40" i="2"/>
  <c r="C40" i="2"/>
  <c r="K38" i="2"/>
  <c r="J38" i="2"/>
  <c r="I38" i="2"/>
  <c r="G38" i="2"/>
  <c r="F38" i="2"/>
  <c r="E38" i="2"/>
  <c r="C38" i="2"/>
  <c r="K36" i="2"/>
  <c r="J36" i="2"/>
  <c r="I36" i="2"/>
  <c r="G36" i="2"/>
  <c r="F36" i="2"/>
  <c r="E36" i="2"/>
  <c r="C36" i="2"/>
  <c r="K33" i="2"/>
  <c r="J33" i="2"/>
  <c r="I33" i="2"/>
  <c r="C33" i="2"/>
  <c r="K30" i="2"/>
  <c r="J30" i="2"/>
  <c r="I30" i="2"/>
  <c r="C30" i="2"/>
  <c r="K27" i="2"/>
  <c r="J27" i="2"/>
  <c r="I27" i="2"/>
  <c r="C27" i="2"/>
  <c r="K24" i="2"/>
  <c r="J24" i="2"/>
  <c r="I24" i="2"/>
  <c r="C24" i="2"/>
  <c r="K21" i="2"/>
  <c r="J21" i="2"/>
  <c r="I21" i="2"/>
  <c r="C21" i="2"/>
  <c r="K18" i="2"/>
  <c r="J18" i="2"/>
  <c r="I18" i="2"/>
  <c r="K16" i="2"/>
  <c r="J16" i="2"/>
  <c r="I16" i="2"/>
  <c r="G16" i="2"/>
  <c r="F16" i="2"/>
  <c r="E16" i="2"/>
  <c r="C16" i="2"/>
  <c r="K13" i="2"/>
  <c r="J13" i="2"/>
  <c r="I13" i="2"/>
  <c r="C13" i="2"/>
  <c r="K11" i="2"/>
  <c r="J11" i="2"/>
  <c r="I11" i="2"/>
  <c r="G11" i="2"/>
  <c r="F11" i="2"/>
  <c r="E11" i="2"/>
  <c r="C11" i="2"/>
  <c r="K9" i="2"/>
  <c r="J9" i="2"/>
  <c r="I9" i="2"/>
  <c r="G9" i="2"/>
  <c r="F9" i="2"/>
  <c r="E9" i="2"/>
  <c r="C9" i="2"/>
  <c r="K7" i="2"/>
  <c r="J7" i="2"/>
  <c r="I7" i="2"/>
  <c r="G7" i="2"/>
  <c r="F7" i="2"/>
  <c r="C7" i="2"/>
  <c r="K67" i="15"/>
  <c r="J67" i="15"/>
  <c r="I67" i="15"/>
  <c r="H67" i="15"/>
  <c r="BC18" i="22" s="1"/>
  <c r="G67" i="15"/>
  <c r="F67" i="15"/>
  <c r="E67" i="15"/>
  <c r="D67" i="15"/>
  <c r="AQ18" i="22" s="1"/>
  <c r="C67" i="15"/>
  <c r="BD18" i="22"/>
  <c r="AR18" i="22"/>
  <c r="K65" i="15"/>
  <c r="J65" i="15"/>
  <c r="I65" i="15"/>
  <c r="H65" i="15"/>
  <c r="BJ18" i="22" s="1"/>
  <c r="G65" i="15"/>
  <c r="F65" i="15"/>
  <c r="E65" i="15"/>
  <c r="D65" i="15"/>
  <c r="AX18" i="22" s="1"/>
  <c r="C65" i="15"/>
  <c r="K64" i="15"/>
  <c r="J64" i="15"/>
  <c r="I64" i="15"/>
  <c r="H64" i="15"/>
  <c r="BG18" i="22" s="1"/>
  <c r="G64" i="15"/>
  <c r="F64" i="15"/>
  <c r="E64" i="15"/>
  <c r="D64" i="15"/>
  <c r="AU18" i="22" s="1"/>
  <c r="C64" i="15"/>
  <c r="K63" i="15"/>
  <c r="J63" i="15"/>
  <c r="I63" i="15"/>
  <c r="H63" i="15"/>
  <c r="BF18" i="22" s="1"/>
  <c r="G63" i="15"/>
  <c r="F63" i="15"/>
  <c r="E63" i="15"/>
  <c r="D63" i="15"/>
  <c r="AT18" i="22" s="1"/>
  <c r="C63" i="15"/>
  <c r="K62" i="15"/>
  <c r="J62" i="15"/>
  <c r="I62" i="15"/>
  <c r="H62" i="15"/>
  <c r="BE18" i="22" s="1"/>
  <c r="G62" i="15"/>
  <c r="F62" i="15"/>
  <c r="E62" i="15"/>
  <c r="D62" i="15"/>
  <c r="AS18" i="22" s="1"/>
  <c r="C62" i="15"/>
  <c r="K55" i="15"/>
  <c r="J55" i="15"/>
  <c r="I55" i="15"/>
  <c r="G55" i="15"/>
  <c r="F55" i="15"/>
  <c r="E55" i="15"/>
  <c r="C55" i="15"/>
  <c r="K52" i="15"/>
  <c r="J52" i="15"/>
  <c r="I52" i="15"/>
  <c r="G52" i="15"/>
  <c r="F52" i="15"/>
  <c r="E52" i="15"/>
  <c r="C52" i="15"/>
  <c r="K49" i="15"/>
  <c r="J49" i="15"/>
  <c r="I49" i="15"/>
  <c r="G49" i="15"/>
  <c r="F49" i="15"/>
  <c r="E49" i="15"/>
  <c r="C49" i="15"/>
  <c r="K46" i="15"/>
  <c r="J46" i="15"/>
  <c r="I46" i="15"/>
  <c r="G46" i="15"/>
  <c r="F46" i="15"/>
  <c r="E46" i="15"/>
  <c r="C46" i="15"/>
  <c r="K43" i="15"/>
  <c r="J43" i="15"/>
  <c r="I43" i="15"/>
  <c r="G43" i="15"/>
  <c r="F43" i="15"/>
  <c r="E43" i="15"/>
  <c r="C43" i="15"/>
  <c r="K39" i="15"/>
  <c r="J39" i="15"/>
  <c r="I39" i="15"/>
  <c r="G39" i="15"/>
  <c r="F39" i="15"/>
  <c r="E39" i="15"/>
  <c r="C39" i="15"/>
  <c r="K35" i="15"/>
  <c r="J35" i="15"/>
  <c r="I35" i="15"/>
  <c r="G35" i="15"/>
  <c r="F35" i="15"/>
  <c r="E35" i="15"/>
  <c r="C35" i="15"/>
  <c r="K32" i="15"/>
  <c r="J32" i="15"/>
  <c r="I32" i="15"/>
  <c r="G32" i="15"/>
  <c r="F32" i="15"/>
  <c r="E32" i="15"/>
  <c r="C32" i="15"/>
  <c r="K29" i="15"/>
  <c r="J29" i="15"/>
  <c r="I29" i="15"/>
  <c r="G29" i="15"/>
  <c r="F29" i="15"/>
  <c r="E29" i="15"/>
  <c r="C29" i="15"/>
  <c r="K26" i="15"/>
  <c r="J26" i="15"/>
  <c r="I26" i="15"/>
  <c r="G26" i="15"/>
  <c r="F26" i="15"/>
  <c r="E26" i="15"/>
  <c r="C26" i="15"/>
  <c r="K23" i="15"/>
  <c r="J23" i="15"/>
  <c r="I23" i="15"/>
  <c r="G23" i="15"/>
  <c r="F23" i="15"/>
  <c r="E23" i="15"/>
  <c r="C23" i="15"/>
  <c r="K19" i="15"/>
  <c r="J19" i="15"/>
  <c r="I19" i="15"/>
  <c r="G19" i="15"/>
  <c r="F19" i="15"/>
  <c r="E19" i="15"/>
  <c r="C19" i="15"/>
  <c r="K15" i="15"/>
  <c r="J15" i="15"/>
  <c r="I15" i="15"/>
  <c r="G15" i="15"/>
  <c r="F15" i="15"/>
  <c r="E15" i="15"/>
  <c r="C15" i="15"/>
  <c r="K11" i="15"/>
  <c r="J11" i="15"/>
  <c r="I11" i="15"/>
  <c r="G11" i="15"/>
  <c r="F11" i="15"/>
  <c r="E11" i="15"/>
  <c r="C11" i="15"/>
  <c r="K7" i="15"/>
  <c r="J7" i="15"/>
  <c r="I7" i="15"/>
  <c r="G7" i="15"/>
  <c r="F7" i="15"/>
  <c r="E7" i="15"/>
  <c r="C7" i="15"/>
  <c r="K106" i="14"/>
  <c r="J106" i="14"/>
  <c r="I106" i="14"/>
  <c r="G106" i="14"/>
  <c r="F106" i="14"/>
  <c r="E106" i="14"/>
  <c r="C106" i="14"/>
  <c r="K105" i="14"/>
  <c r="J105" i="14"/>
  <c r="I105" i="14"/>
  <c r="G105" i="14"/>
  <c r="F105" i="14"/>
  <c r="E105" i="14"/>
  <c r="C105" i="14"/>
  <c r="K104" i="14"/>
  <c r="J104" i="14"/>
  <c r="I104" i="14"/>
  <c r="G104" i="14"/>
  <c r="F104" i="14"/>
  <c r="E104" i="14"/>
  <c r="K100" i="14"/>
  <c r="J100" i="14"/>
  <c r="I100" i="14"/>
  <c r="G100" i="14"/>
  <c r="F100" i="14"/>
  <c r="E100" i="14"/>
  <c r="H97" i="14"/>
  <c r="D97" i="14"/>
  <c r="H96" i="14"/>
  <c r="F96" i="14"/>
  <c r="F90" i="14" s="1"/>
  <c r="E96" i="14"/>
  <c r="H95" i="14"/>
  <c r="D95" i="14"/>
  <c r="H94" i="14"/>
  <c r="D94" i="14"/>
  <c r="D93" i="14"/>
  <c r="D92" i="14"/>
  <c r="D91" i="14"/>
  <c r="K90" i="14"/>
  <c r="O90" i="14" s="1"/>
  <c r="J90" i="14"/>
  <c r="I90" i="14"/>
  <c r="C90" i="14"/>
  <c r="H89" i="14"/>
  <c r="F89" i="14"/>
  <c r="F84" i="14" s="1"/>
  <c r="E89" i="14"/>
  <c r="H88" i="14"/>
  <c r="D88" i="14"/>
  <c r="H87" i="14"/>
  <c r="D87" i="14"/>
  <c r="H85" i="14"/>
  <c r="D85" i="14"/>
  <c r="K84" i="14"/>
  <c r="O84" i="14" s="1"/>
  <c r="J84" i="14"/>
  <c r="I84" i="14"/>
  <c r="C84" i="14"/>
  <c r="H83" i="14"/>
  <c r="F83" i="14"/>
  <c r="F78" i="14" s="1"/>
  <c r="E83" i="14"/>
  <c r="H82" i="14"/>
  <c r="D82" i="14"/>
  <c r="H81" i="14"/>
  <c r="D81" i="14"/>
  <c r="H79" i="14"/>
  <c r="D79" i="14"/>
  <c r="K78" i="14"/>
  <c r="O78" i="14" s="1"/>
  <c r="J78" i="14"/>
  <c r="I78" i="14"/>
  <c r="C78" i="14"/>
  <c r="H77" i="14"/>
  <c r="F77" i="14"/>
  <c r="F70" i="14" s="1"/>
  <c r="E77" i="14"/>
  <c r="E70" i="14" s="1"/>
  <c r="H76" i="14"/>
  <c r="D76" i="14"/>
  <c r="H75" i="14"/>
  <c r="D75" i="14"/>
  <c r="H74" i="14"/>
  <c r="D74" i="14"/>
  <c r="H73" i="14"/>
  <c r="D73" i="14"/>
  <c r="H72" i="14"/>
  <c r="D72" i="14"/>
  <c r="H71" i="14"/>
  <c r="D71" i="14"/>
  <c r="K70" i="14"/>
  <c r="O70" i="14" s="1"/>
  <c r="J70" i="14"/>
  <c r="I70" i="14"/>
  <c r="C70" i="14"/>
  <c r="H69" i="14"/>
  <c r="D69" i="14"/>
  <c r="H68" i="14"/>
  <c r="D68" i="14"/>
  <c r="K67" i="14"/>
  <c r="O67" i="14" s="1"/>
  <c r="J67" i="14"/>
  <c r="I67" i="14"/>
  <c r="G67" i="14"/>
  <c r="F67" i="14"/>
  <c r="E67" i="14"/>
  <c r="C67" i="14"/>
  <c r="H66" i="14"/>
  <c r="F66" i="14"/>
  <c r="F61" i="14" s="1"/>
  <c r="E66" i="14"/>
  <c r="E61" i="14" s="1"/>
  <c r="H65" i="14"/>
  <c r="D65" i="14"/>
  <c r="H64" i="14"/>
  <c r="D64" i="14"/>
  <c r="H63" i="14"/>
  <c r="D63" i="14"/>
  <c r="H62" i="14"/>
  <c r="D62" i="14"/>
  <c r="K61" i="14"/>
  <c r="O61" i="14" s="1"/>
  <c r="J61" i="14"/>
  <c r="I61" i="14"/>
  <c r="C61" i="14"/>
  <c r="H60" i="14"/>
  <c r="D60" i="14"/>
  <c r="H58" i="14"/>
  <c r="H57" i="14"/>
  <c r="D57" i="14"/>
  <c r="K56" i="14"/>
  <c r="O56" i="14" s="1"/>
  <c r="J56" i="14"/>
  <c r="I56" i="14"/>
  <c r="F56" i="14"/>
  <c r="E56" i="14"/>
  <c r="C56" i="14"/>
  <c r="H55" i="14"/>
  <c r="F55" i="14"/>
  <c r="F48" i="14" s="1"/>
  <c r="E55" i="14"/>
  <c r="H54" i="14"/>
  <c r="D54" i="14"/>
  <c r="H52" i="14"/>
  <c r="D52" i="14"/>
  <c r="H51" i="14"/>
  <c r="D51" i="14"/>
  <c r="H50" i="14"/>
  <c r="D50" i="14"/>
  <c r="H49" i="14"/>
  <c r="D49" i="14"/>
  <c r="K48" i="14"/>
  <c r="O48" i="14" s="1"/>
  <c r="J48" i="14"/>
  <c r="C48" i="14"/>
  <c r="H47" i="14"/>
  <c r="F47" i="14"/>
  <c r="E47" i="14"/>
  <c r="H45" i="14"/>
  <c r="D45" i="14"/>
  <c r="H44" i="14"/>
  <c r="D44" i="14"/>
  <c r="H43" i="14"/>
  <c r="D43" i="14"/>
  <c r="H42" i="14"/>
  <c r="D42" i="14"/>
  <c r="K41" i="14"/>
  <c r="O41" i="14" s="1"/>
  <c r="J41" i="14"/>
  <c r="C41" i="14"/>
  <c r="H39" i="14"/>
  <c r="F39" i="14"/>
  <c r="F32" i="14" s="1"/>
  <c r="E39" i="14"/>
  <c r="E32" i="14" s="1"/>
  <c r="H38" i="14"/>
  <c r="D38" i="14"/>
  <c r="H37" i="14"/>
  <c r="D37" i="14"/>
  <c r="H36" i="14"/>
  <c r="D36" i="14"/>
  <c r="H35" i="14"/>
  <c r="D35" i="14"/>
  <c r="H34" i="14"/>
  <c r="D34" i="14"/>
  <c r="H33" i="14"/>
  <c r="D33" i="14"/>
  <c r="K32" i="14"/>
  <c r="O32" i="14" s="1"/>
  <c r="J32" i="14"/>
  <c r="I32" i="14"/>
  <c r="H30" i="14"/>
  <c r="F30" i="14"/>
  <c r="F23" i="14" s="1"/>
  <c r="E30" i="14"/>
  <c r="E23" i="14" s="1"/>
  <c r="H29" i="14"/>
  <c r="D29" i="14"/>
  <c r="H28" i="14"/>
  <c r="D28" i="14"/>
  <c r="H27" i="14"/>
  <c r="D27" i="14"/>
  <c r="H26" i="14"/>
  <c r="D26" i="14"/>
  <c r="H25" i="14"/>
  <c r="D25" i="14"/>
  <c r="H24" i="14"/>
  <c r="D24" i="14"/>
  <c r="K23" i="14"/>
  <c r="O23" i="14" s="1"/>
  <c r="J23" i="14"/>
  <c r="I23" i="14"/>
  <c r="H22" i="14"/>
  <c r="F22" i="14"/>
  <c r="E22" i="14"/>
  <c r="H21" i="14"/>
  <c r="D21" i="14"/>
  <c r="H20" i="14"/>
  <c r="D20" i="14"/>
  <c r="H19" i="14"/>
  <c r="D19" i="14"/>
  <c r="H18" i="14"/>
  <c r="D18" i="14"/>
  <c r="H17" i="14"/>
  <c r="D17" i="14"/>
  <c r="K16" i="14"/>
  <c r="O16" i="14" s="1"/>
  <c r="J16" i="14"/>
  <c r="I16" i="14"/>
  <c r="C16" i="14"/>
  <c r="H15" i="14"/>
  <c r="D15" i="14"/>
  <c r="H14" i="14"/>
  <c r="D14" i="14"/>
  <c r="K13" i="14"/>
  <c r="O13" i="14" s="1"/>
  <c r="J13" i="14"/>
  <c r="I13" i="14"/>
  <c r="G13" i="14"/>
  <c r="F13" i="14"/>
  <c r="E13" i="14"/>
  <c r="C13" i="14"/>
  <c r="H12" i="14"/>
  <c r="D12" i="14"/>
  <c r="H11" i="14"/>
  <c r="D11" i="14"/>
  <c r="K10" i="14"/>
  <c r="O10" i="14" s="1"/>
  <c r="J10" i="14"/>
  <c r="I10" i="14"/>
  <c r="G10" i="14"/>
  <c r="F10" i="14"/>
  <c r="E10" i="14"/>
  <c r="C10" i="14"/>
  <c r="H9" i="14"/>
  <c r="D9" i="14"/>
  <c r="H8" i="14"/>
  <c r="D8" i="14"/>
  <c r="K7" i="14"/>
  <c r="J7" i="14"/>
  <c r="I7" i="14"/>
  <c r="G7" i="14"/>
  <c r="F7" i="14"/>
  <c r="E7" i="14"/>
  <c r="C7" i="14"/>
  <c r="AY16" i="22"/>
  <c r="C219" i="13"/>
  <c r="C217" i="13"/>
  <c r="C216" i="13"/>
  <c r="C215" i="13"/>
  <c r="C214" i="13"/>
  <c r="C213" i="13"/>
  <c r="H210" i="13"/>
  <c r="H209" i="13"/>
  <c r="F209" i="13"/>
  <c r="E209" i="13"/>
  <c r="E201" i="13" s="1"/>
  <c r="H207" i="13"/>
  <c r="H205" i="13"/>
  <c r="H204" i="13"/>
  <c r="H203" i="13"/>
  <c r="K201" i="13"/>
  <c r="J201" i="13"/>
  <c r="I201" i="13"/>
  <c r="C201" i="13"/>
  <c r="H200" i="13"/>
  <c r="H199" i="13"/>
  <c r="H198" i="13"/>
  <c r="H197" i="13"/>
  <c r="K196" i="13"/>
  <c r="J196" i="13"/>
  <c r="I196" i="13"/>
  <c r="G196" i="13"/>
  <c r="F196" i="13"/>
  <c r="E196" i="13"/>
  <c r="C196" i="13"/>
  <c r="H195" i="13"/>
  <c r="F195" i="13"/>
  <c r="F187" i="13" s="1"/>
  <c r="E195" i="13"/>
  <c r="H194" i="13"/>
  <c r="H193" i="13"/>
  <c r="H191" i="13"/>
  <c r="H190" i="13"/>
  <c r="J187" i="13"/>
  <c r="I187" i="13"/>
  <c r="C187" i="13"/>
  <c r="H186" i="13"/>
  <c r="F186" i="13"/>
  <c r="F179" i="13" s="1"/>
  <c r="E186" i="13"/>
  <c r="E179" i="13" s="1"/>
  <c r="H185" i="13"/>
  <c r="H183" i="13"/>
  <c r="H182" i="13"/>
  <c r="J179" i="13"/>
  <c r="I179" i="13"/>
  <c r="C179" i="13"/>
  <c r="H178" i="13"/>
  <c r="F178" i="13"/>
  <c r="F170" i="13" s="1"/>
  <c r="E178" i="13"/>
  <c r="H177" i="13"/>
  <c r="H176" i="13"/>
  <c r="H174" i="13"/>
  <c r="H173" i="13"/>
  <c r="J170" i="13"/>
  <c r="I170" i="13"/>
  <c r="C170" i="13"/>
  <c r="H169" i="13"/>
  <c r="F169" i="13"/>
  <c r="E169" i="13"/>
  <c r="E161" i="13" s="1"/>
  <c r="H168" i="13"/>
  <c r="D168" i="13"/>
  <c r="H167" i="13"/>
  <c r="D167" i="13"/>
  <c r="D218" i="13" s="1"/>
  <c r="H165" i="13"/>
  <c r="D165" i="13"/>
  <c r="H164" i="13"/>
  <c r="D164" i="13"/>
  <c r="D163" i="13"/>
  <c r="J161" i="13"/>
  <c r="I161" i="13"/>
  <c r="C161" i="13"/>
  <c r="H160" i="13"/>
  <c r="F160" i="13"/>
  <c r="E160" i="13"/>
  <c r="E153" i="13" s="1"/>
  <c r="H159" i="13"/>
  <c r="D159" i="13"/>
  <c r="H157" i="13"/>
  <c r="D157" i="13"/>
  <c r="H156" i="13"/>
  <c r="D156" i="13"/>
  <c r="D155" i="13"/>
  <c r="J153" i="13"/>
  <c r="I153" i="13"/>
  <c r="H152" i="13"/>
  <c r="F152" i="13"/>
  <c r="E152" i="13"/>
  <c r="E145" i="13" s="1"/>
  <c r="H151" i="13"/>
  <c r="H149" i="13"/>
  <c r="H148" i="13"/>
  <c r="I145" i="13"/>
  <c r="C145" i="13"/>
  <c r="H144" i="13"/>
  <c r="F144" i="13"/>
  <c r="F137" i="13" s="1"/>
  <c r="E144" i="13"/>
  <c r="E137" i="13" s="1"/>
  <c r="H141" i="13"/>
  <c r="H140" i="13"/>
  <c r="H139" i="13"/>
  <c r="J137" i="13"/>
  <c r="I137" i="13"/>
  <c r="C137" i="13"/>
  <c r="H136" i="13"/>
  <c r="F136" i="13"/>
  <c r="F127" i="13" s="1"/>
  <c r="E136" i="13"/>
  <c r="H134" i="13"/>
  <c r="H133" i="13"/>
  <c r="H131" i="13"/>
  <c r="H130" i="13"/>
  <c r="H129" i="13"/>
  <c r="J127" i="13"/>
  <c r="I127" i="13"/>
  <c r="H126" i="13"/>
  <c r="F126" i="13"/>
  <c r="F117" i="13" s="1"/>
  <c r="E126" i="13"/>
  <c r="H124" i="13"/>
  <c r="H123" i="13"/>
  <c r="H121" i="13"/>
  <c r="H120" i="13"/>
  <c r="H119" i="13"/>
  <c r="J117" i="13"/>
  <c r="I117" i="13"/>
  <c r="C117" i="13"/>
  <c r="H116" i="13"/>
  <c r="F116" i="13"/>
  <c r="F107" i="13" s="1"/>
  <c r="E116" i="13"/>
  <c r="H114" i="13"/>
  <c r="H113" i="13"/>
  <c r="H111" i="13"/>
  <c r="H110" i="13"/>
  <c r="H109" i="13"/>
  <c r="J107" i="13"/>
  <c r="H106" i="13"/>
  <c r="H105" i="13"/>
  <c r="K104" i="13"/>
  <c r="J104" i="13"/>
  <c r="I104" i="13"/>
  <c r="G104" i="13"/>
  <c r="F104" i="13"/>
  <c r="E104" i="13"/>
  <c r="C104" i="13"/>
  <c r="H103" i="13"/>
  <c r="H102" i="13"/>
  <c r="H101" i="13"/>
  <c r="K100" i="13"/>
  <c r="J100" i="13"/>
  <c r="I100" i="13"/>
  <c r="G100" i="13"/>
  <c r="F100" i="13"/>
  <c r="E100" i="13"/>
  <c r="C100" i="13"/>
  <c r="H99" i="13"/>
  <c r="H98" i="13"/>
  <c r="H97" i="13"/>
  <c r="K96" i="13"/>
  <c r="J96" i="13"/>
  <c r="I96" i="13"/>
  <c r="G96" i="13"/>
  <c r="F96" i="13"/>
  <c r="E96" i="13"/>
  <c r="C96" i="13"/>
  <c r="H95" i="13"/>
  <c r="H94" i="13"/>
  <c r="K93" i="13"/>
  <c r="J93" i="13"/>
  <c r="I93" i="13"/>
  <c r="G93" i="13"/>
  <c r="F93" i="13"/>
  <c r="E93" i="13"/>
  <c r="C93" i="13"/>
  <c r="H92" i="13"/>
  <c r="K91" i="13"/>
  <c r="J91" i="13"/>
  <c r="I91" i="13"/>
  <c r="G91" i="13"/>
  <c r="F91" i="13"/>
  <c r="E91" i="13"/>
  <c r="C91" i="13"/>
  <c r="H90" i="13"/>
  <c r="H89" i="13"/>
  <c r="K88" i="13"/>
  <c r="J88" i="13"/>
  <c r="I88" i="13"/>
  <c r="G88" i="13"/>
  <c r="F88" i="13"/>
  <c r="E88" i="13"/>
  <c r="C88" i="13"/>
  <c r="H87" i="13"/>
  <c r="H86" i="13"/>
  <c r="H85" i="13"/>
  <c r="K84" i="13"/>
  <c r="J84" i="13"/>
  <c r="I84" i="13"/>
  <c r="G84" i="13"/>
  <c r="F84" i="13"/>
  <c r="E84" i="13"/>
  <c r="C84" i="13"/>
  <c r="H83" i="13"/>
  <c r="H82" i="13"/>
  <c r="K81" i="13"/>
  <c r="J81" i="13"/>
  <c r="I81" i="13"/>
  <c r="G81" i="13"/>
  <c r="F81" i="13"/>
  <c r="E81" i="13"/>
  <c r="C81" i="13"/>
  <c r="H80" i="13"/>
  <c r="H79" i="13"/>
  <c r="H78" i="13"/>
  <c r="K77" i="13"/>
  <c r="J77" i="13"/>
  <c r="I77" i="13"/>
  <c r="G77" i="13"/>
  <c r="F77" i="13"/>
  <c r="E77" i="13"/>
  <c r="C77" i="13"/>
  <c r="H76" i="13"/>
  <c r="H75" i="13"/>
  <c r="K74" i="13"/>
  <c r="J74" i="13"/>
  <c r="I74" i="13"/>
  <c r="G74" i="13"/>
  <c r="F74" i="13"/>
  <c r="E74" i="13"/>
  <c r="C74" i="13"/>
  <c r="H73" i="13"/>
  <c r="H72" i="13"/>
  <c r="K71" i="13"/>
  <c r="J71" i="13"/>
  <c r="I71" i="13"/>
  <c r="G71" i="13"/>
  <c r="F71" i="13"/>
  <c r="E71" i="13"/>
  <c r="C71" i="13"/>
  <c r="H70" i="13"/>
  <c r="H69" i="13"/>
  <c r="K68" i="13"/>
  <c r="J68" i="13"/>
  <c r="I68" i="13"/>
  <c r="G68" i="13"/>
  <c r="F68" i="13"/>
  <c r="E68" i="13"/>
  <c r="C68" i="13"/>
  <c r="H67" i="13"/>
  <c r="H66" i="13"/>
  <c r="K65" i="13"/>
  <c r="J65" i="13"/>
  <c r="I65" i="13"/>
  <c r="G65" i="13"/>
  <c r="F65" i="13"/>
  <c r="E65" i="13"/>
  <c r="C65" i="13"/>
  <c r="H64" i="13"/>
  <c r="F64" i="13"/>
  <c r="E64" i="13"/>
  <c r="E57" i="13" s="1"/>
  <c r="H63" i="13"/>
  <c r="H61" i="13"/>
  <c r="H60" i="13"/>
  <c r="H59" i="13"/>
  <c r="H58" i="13"/>
  <c r="J57" i="13"/>
  <c r="I57" i="13"/>
  <c r="C57" i="13"/>
  <c r="H56" i="13"/>
  <c r="F56" i="13"/>
  <c r="F49" i="13" s="1"/>
  <c r="E56" i="13"/>
  <c r="E49" i="13" s="1"/>
  <c r="H55" i="13"/>
  <c r="H53" i="13"/>
  <c r="H52" i="13"/>
  <c r="H51" i="13"/>
  <c r="J49" i="13"/>
  <c r="I49" i="13"/>
  <c r="C49" i="13"/>
  <c r="H48" i="13"/>
  <c r="F48" i="13"/>
  <c r="E48" i="13"/>
  <c r="E41" i="13" s="1"/>
  <c r="H47" i="13"/>
  <c r="H45" i="13"/>
  <c r="H44" i="13"/>
  <c r="H43" i="13"/>
  <c r="J41" i="13"/>
  <c r="H41" i="13" s="1"/>
  <c r="C41" i="13"/>
  <c r="H40" i="13"/>
  <c r="H39" i="13"/>
  <c r="H38" i="13"/>
  <c r="K37" i="13"/>
  <c r="J37" i="13"/>
  <c r="I37" i="13"/>
  <c r="G37" i="13"/>
  <c r="F37" i="13"/>
  <c r="E37" i="13"/>
  <c r="C37" i="13"/>
  <c r="H36" i="13"/>
  <c r="K35" i="13"/>
  <c r="J35" i="13"/>
  <c r="I35" i="13"/>
  <c r="G35" i="13"/>
  <c r="F35" i="13"/>
  <c r="E35" i="13"/>
  <c r="C35" i="13"/>
  <c r="H34" i="13"/>
  <c r="K33" i="13"/>
  <c r="J33" i="13"/>
  <c r="I33" i="13"/>
  <c r="C33" i="13"/>
  <c r="H32" i="13"/>
  <c r="F32" i="13"/>
  <c r="F25" i="13" s="1"/>
  <c r="E32" i="13"/>
  <c r="E25" i="13" s="1"/>
  <c r="H31" i="13"/>
  <c r="H29" i="13"/>
  <c r="H28" i="13"/>
  <c r="H27" i="13"/>
  <c r="H26" i="13"/>
  <c r="J25" i="13"/>
  <c r="I25" i="13"/>
  <c r="C25" i="13"/>
  <c r="H24" i="13"/>
  <c r="F24" i="13"/>
  <c r="E24" i="13"/>
  <c r="E16" i="13" s="1"/>
  <c r="H23" i="13"/>
  <c r="H22" i="13"/>
  <c r="H20" i="13"/>
  <c r="H19" i="13"/>
  <c r="H18" i="13"/>
  <c r="H17" i="13"/>
  <c r="J16" i="13"/>
  <c r="I16" i="13"/>
  <c r="C16" i="13"/>
  <c r="H15" i="13"/>
  <c r="F15" i="13"/>
  <c r="E15" i="13"/>
  <c r="H14" i="13"/>
  <c r="H13" i="13"/>
  <c r="H11" i="13"/>
  <c r="H10" i="13"/>
  <c r="H9" i="13"/>
  <c r="J7" i="13"/>
  <c r="I7" i="13"/>
  <c r="C7" i="13"/>
  <c r="K32" i="12"/>
  <c r="J32" i="12"/>
  <c r="I32" i="12"/>
  <c r="H32" i="12"/>
  <c r="BC15" i="22" s="1"/>
  <c r="G32" i="12"/>
  <c r="F32" i="12"/>
  <c r="E32" i="12"/>
  <c r="D32" i="12"/>
  <c r="AQ15" i="22" s="1"/>
  <c r="C32" i="12"/>
  <c r="K31" i="12"/>
  <c r="J31" i="12"/>
  <c r="I31" i="12"/>
  <c r="H31" i="12"/>
  <c r="BK15" i="22" s="1"/>
  <c r="G31" i="12"/>
  <c r="F31" i="12"/>
  <c r="E31" i="12"/>
  <c r="D31" i="12"/>
  <c r="AY15" i="22" s="1"/>
  <c r="C31" i="12"/>
  <c r="K30" i="12"/>
  <c r="J30" i="12"/>
  <c r="I30" i="12"/>
  <c r="H30" i="12"/>
  <c r="BJ15" i="22" s="1"/>
  <c r="G30" i="12"/>
  <c r="F30" i="12"/>
  <c r="E30" i="12"/>
  <c r="D30" i="12"/>
  <c r="AX15" i="22" s="1"/>
  <c r="C30" i="12"/>
  <c r="K29" i="12"/>
  <c r="J29" i="12"/>
  <c r="I29" i="12"/>
  <c r="H29" i="12"/>
  <c r="BG15" i="22" s="1"/>
  <c r="G29" i="12"/>
  <c r="F29" i="12"/>
  <c r="E29" i="12"/>
  <c r="D29" i="12"/>
  <c r="AU15" i="22" s="1"/>
  <c r="C29" i="12"/>
  <c r="K28" i="12"/>
  <c r="J28" i="12"/>
  <c r="I28" i="12"/>
  <c r="H28" i="12"/>
  <c r="BF15" i="22" s="1"/>
  <c r="G28" i="12"/>
  <c r="F28" i="12"/>
  <c r="E28" i="12"/>
  <c r="D28" i="12"/>
  <c r="AT15" i="22" s="1"/>
  <c r="C28" i="12"/>
  <c r="K21" i="12"/>
  <c r="J21" i="12"/>
  <c r="I21" i="12"/>
  <c r="G21" i="12"/>
  <c r="F21" i="12"/>
  <c r="E21" i="12"/>
  <c r="C21" i="12"/>
  <c r="K19" i="12"/>
  <c r="J19" i="12"/>
  <c r="I19" i="12"/>
  <c r="G19" i="12"/>
  <c r="F19" i="12"/>
  <c r="E19" i="12"/>
  <c r="C19" i="12"/>
  <c r="K17" i="12"/>
  <c r="J17" i="12"/>
  <c r="I17" i="12"/>
  <c r="G17" i="12"/>
  <c r="F17" i="12"/>
  <c r="E17" i="12"/>
  <c r="C17" i="12"/>
  <c r="K14" i="12"/>
  <c r="J14" i="12"/>
  <c r="I14" i="12"/>
  <c r="G14" i="12"/>
  <c r="F14" i="12"/>
  <c r="E14" i="12"/>
  <c r="C14" i="12"/>
  <c r="K11" i="12"/>
  <c r="J11" i="12"/>
  <c r="I11" i="12"/>
  <c r="G11" i="12"/>
  <c r="F11" i="12"/>
  <c r="E11" i="12"/>
  <c r="C11" i="12"/>
  <c r="K9" i="12"/>
  <c r="J9" i="12"/>
  <c r="I9" i="12"/>
  <c r="G9" i="12"/>
  <c r="F9" i="12"/>
  <c r="E9" i="12"/>
  <c r="C9" i="12"/>
  <c r="K7" i="12"/>
  <c r="J7" i="12"/>
  <c r="I7" i="12"/>
  <c r="G7" i="12"/>
  <c r="F7" i="12"/>
  <c r="E7" i="12"/>
  <c r="C7" i="12"/>
  <c r="K69" i="11"/>
  <c r="J69" i="11"/>
  <c r="I69" i="11"/>
  <c r="G69" i="11"/>
  <c r="F69" i="11"/>
  <c r="E69" i="11"/>
  <c r="C69" i="11"/>
  <c r="K67" i="11"/>
  <c r="J67" i="11"/>
  <c r="I67" i="11"/>
  <c r="G67" i="11"/>
  <c r="F67" i="11"/>
  <c r="E67" i="11"/>
  <c r="C67" i="11"/>
  <c r="K66" i="11"/>
  <c r="J66" i="11"/>
  <c r="I66" i="11"/>
  <c r="H66" i="11"/>
  <c r="BF14" i="22" s="1"/>
  <c r="G66" i="11"/>
  <c r="F66" i="11"/>
  <c r="E66" i="11"/>
  <c r="D66" i="11"/>
  <c r="AT14" i="22" s="1"/>
  <c r="C66" i="11"/>
  <c r="K57" i="11"/>
  <c r="J57" i="11"/>
  <c r="I57" i="11"/>
  <c r="G57" i="11"/>
  <c r="F57" i="11"/>
  <c r="E57" i="11"/>
  <c r="C57" i="11"/>
  <c r="K54" i="11"/>
  <c r="J54" i="11"/>
  <c r="I54" i="11"/>
  <c r="G54" i="11"/>
  <c r="F54" i="11"/>
  <c r="E54" i="11"/>
  <c r="C54" i="11"/>
  <c r="K51" i="11"/>
  <c r="J51" i="11"/>
  <c r="I51" i="11"/>
  <c r="G51" i="11"/>
  <c r="F51" i="11"/>
  <c r="E51" i="11"/>
  <c r="C51" i="11"/>
  <c r="K48" i="11"/>
  <c r="J48" i="11"/>
  <c r="I48" i="11"/>
  <c r="G48" i="11"/>
  <c r="F48" i="11"/>
  <c r="E48" i="11"/>
  <c r="C48" i="11"/>
  <c r="K45" i="11"/>
  <c r="J45" i="11"/>
  <c r="I45" i="11"/>
  <c r="G45" i="11"/>
  <c r="F45" i="11"/>
  <c r="E45" i="11"/>
  <c r="C45" i="11"/>
  <c r="K42" i="11"/>
  <c r="J42" i="11"/>
  <c r="I42" i="11"/>
  <c r="G42" i="11"/>
  <c r="F42" i="11"/>
  <c r="E42" i="11"/>
  <c r="C42" i="11"/>
  <c r="K39" i="11"/>
  <c r="J39" i="11"/>
  <c r="I39" i="11"/>
  <c r="G39" i="11"/>
  <c r="F39" i="11"/>
  <c r="E39" i="11"/>
  <c r="C39" i="11"/>
  <c r="H37" i="11"/>
  <c r="D37" i="11"/>
  <c r="K36" i="11"/>
  <c r="J36" i="11"/>
  <c r="I36" i="11"/>
  <c r="G36" i="11"/>
  <c r="F36" i="11"/>
  <c r="E36" i="11"/>
  <c r="C36" i="11"/>
  <c r="K33" i="11"/>
  <c r="J33" i="11"/>
  <c r="I33" i="11"/>
  <c r="G33" i="11"/>
  <c r="F33" i="11"/>
  <c r="E33" i="11"/>
  <c r="K29" i="11"/>
  <c r="J29" i="11"/>
  <c r="I29" i="11"/>
  <c r="G29" i="11"/>
  <c r="F29" i="11"/>
  <c r="E29" i="11"/>
  <c r="C29" i="11"/>
  <c r="H28" i="11"/>
  <c r="H27" i="11"/>
  <c r="D27" i="11"/>
  <c r="K26" i="11"/>
  <c r="J26" i="11"/>
  <c r="I26" i="11"/>
  <c r="G26" i="11"/>
  <c r="F26" i="11"/>
  <c r="E26" i="11"/>
  <c r="C26" i="11"/>
  <c r="K23" i="11"/>
  <c r="J23" i="11"/>
  <c r="I23" i="11"/>
  <c r="G23" i="11"/>
  <c r="F23" i="11"/>
  <c r="E23" i="11"/>
  <c r="C23" i="11"/>
  <c r="K19" i="11"/>
  <c r="J19" i="11"/>
  <c r="I19" i="11"/>
  <c r="G19" i="11"/>
  <c r="F19" i="11"/>
  <c r="E19" i="11"/>
  <c r="C19" i="11"/>
  <c r="H18" i="11"/>
  <c r="H17" i="11"/>
  <c r="D17" i="11"/>
  <c r="K16" i="11"/>
  <c r="J16" i="11"/>
  <c r="I16" i="11"/>
  <c r="G16" i="11"/>
  <c r="F16" i="11"/>
  <c r="E16" i="11"/>
  <c r="C16" i="11"/>
  <c r="K13" i="11"/>
  <c r="J13" i="11"/>
  <c r="I13" i="11"/>
  <c r="G13" i="11"/>
  <c r="F13" i="11"/>
  <c r="E13" i="11"/>
  <c r="C13" i="11"/>
  <c r="K10" i="11"/>
  <c r="J10" i="11"/>
  <c r="I10" i="11"/>
  <c r="G10" i="11"/>
  <c r="F10" i="11"/>
  <c r="E10" i="11"/>
  <c r="C10" i="11"/>
  <c r="K7" i="11"/>
  <c r="J7" i="11"/>
  <c r="I7" i="11"/>
  <c r="G7" i="11"/>
  <c r="E7" i="11"/>
  <c r="C7" i="11"/>
  <c r="K36" i="10"/>
  <c r="J36" i="10"/>
  <c r="I36" i="10"/>
  <c r="G36" i="10"/>
  <c r="F36" i="10"/>
  <c r="E36" i="10"/>
  <c r="C36" i="10"/>
  <c r="K35" i="10"/>
  <c r="J35" i="10"/>
  <c r="I35" i="10"/>
  <c r="G35" i="10"/>
  <c r="F35" i="10"/>
  <c r="E35" i="10"/>
  <c r="C35" i="10"/>
  <c r="K34" i="10"/>
  <c r="J34" i="10"/>
  <c r="I34" i="10"/>
  <c r="G34" i="10"/>
  <c r="F34" i="10"/>
  <c r="E34" i="10"/>
  <c r="C34" i="10"/>
  <c r="K33" i="10"/>
  <c r="J33" i="10"/>
  <c r="I33" i="10"/>
  <c r="G33" i="10"/>
  <c r="F33" i="10"/>
  <c r="E33" i="10"/>
  <c r="C33" i="10"/>
  <c r="K32" i="10"/>
  <c r="J32" i="10"/>
  <c r="I32" i="10"/>
  <c r="G32" i="10"/>
  <c r="F32" i="10"/>
  <c r="E32" i="10"/>
  <c r="C32" i="10"/>
  <c r="K31" i="10"/>
  <c r="J31" i="10"/>
  <c r="I31" i="10"/>
  <c r="G31" i="10"/>
  <c r="F31" i="10"/>
  <c r="E31" i="10"/>
  <c r="C31" i="10"/>
  <c r="H28" i="10"/>
  <c r="D28" i="10"/>
  <c r="H27" i="10"/>
  <c r="H26" i="10"/>
  <c r="H33" i="10" s="1"/>
  <c r="BH13" i="22" s="1"/>
  <c r="D26" i="10"/>
  <c r="D33" i="10" s="1"/>
  <c r="AV13" i="22" s="1"/>
  <c r="H25" i="10"/>
  <c r="H32" i="10" s="1"/>
  <c r="BG13" i="22" s="1"/>
  <c r="D25" i="10"/>
  <c r="D32" i="10" s="1"/>
  <c r="AU13" i="22" s="1"/>
  <c r="H24" i="10"/>
  <c r="H31" i="10" s="1"/>
  <c r="BF13" i="22" s="1"/>
  <c r="D24" i="10"/>
  <c r="D31" i="10" s="1"/>
  <c r="AT13" i="22" s="1"/>
  <c r="K23" i="10"/>
  <c r="J23" i="10"/>
  <c r="I23" i="10"/>
  <c r="G23" i="10"/>
  <c r="F23" i="10"/>
  <c r="E23" i="10"/>
  <c r="C23" i="10"/>
  <c r="H22" i="10"/>
  <c r="D22" i="10"/>
  <c r="H21" i="10"/>
  <c r="D21" i="10"/>
  <c r="K20" i="10"/>
  <c r="J20" i="10"/>
  <c r="I20" i="10"/>
  <c r="G20" i="10"/>
  <c r="F20" i="10"/>
  <c r="E20" i="10"/>
  <c r="C20" i="10"/>
  <c r="H19" i="10"/>
  <c r="D19" i="10"/>
  <c r="H18" i="10"/>
  <c r="D18" i="10"/>
  <c r="K17" i="10"/>
  <c r="J17" i="10"/>
  <c r="I17" i="10"/>
  <c r="G17" i="10"/>
  <c r="F17" i="10"/>
  <c r="E17" i="10"/>
  <c r="C17" i="10"/>
  <c r="H16" i="10"/>
  <c r="D16" i="10"/>
  <c r="H15" i="10"/>
  <c r="D15" i="10"/>
  <c r="H14" i="10"/>
  <c r="D14" i="10"/>
  <c r="K13" i="10"/>
  <c r="J13" i="10"/>
  <c r="I13" i="10"/>
  <c r="G13" i="10"/>
  <c r="F13" i="10"/>
  <c r="E13" i="10"/>
  <c r="C13" i="10"/>
  <c r="H12" i="10"/>
  <c r="D12" i="10"/>
  <c r="H11" i="10"/>
  <c r="D11" i="10"/>
  <c r="J10" i="10"/>
  <c r="I10" i="10"/>
  <c r="G10" i="10"/>
  <c r="F10" i="10"/>
  <c r="E10" i="10"/>
  <c r="C10" i="10"/>
  <c r="H9" i="10"/>
  <c r="D9" i="10"/>
  <c r="H8" i="10"/>
  <c r="D8" i="10"/>
  <c r="K7" i="10"/>
  <c r="J7" i="10"/>
  <c r="I7" i="10"/>
  <c r="G7" i="10"/>
  <c r="F7" i="10"/>
  <c r="E7" i="10"/>
  <c r="C7" i="10"/>
  <c r="K76" i="9"/>
  <c r="J76" i="9"/>
  <c r="I76" i="9"/>
  <c r="H76" i="9"/>
  <c r="BC12" i="22" s="1"/>
  <c r="G76" i="9"/>
  <c r="F76" i="9"/>
  <c r="E76" i="9"/>
  <c r="D76" i="9"/>
  <c r="AQ12" i="22" s="1"/>
  <c r="C76" i="9"/>
  <c r="K75" i="9"/>
  <c r="J75" i="9"/>
  <c r="I75" i="9"/>
  <c r="H75" i="9"/>
  <c r="BD12" i="22" s="1"/>
  <c r="G75" i="9"/>
  <c r="F75" i="9"/>
  <c r="E75" i="9"/>
  <c r="D75" i="9"/>
  <c r="AR12" i="22" s="1"/>
  <c r="C75" i="9"/>
  <c r="K74" i="9"/>
  <c r="J74" i="9"/>
  <c r="I74" i="9"/>
  <c r="H74" i="9"/>
  <c r="BK12" i="22" s="1"/>
  <c r="G74" i="9"/>
  <c r="F74" i="9"/>
  <c r="E74" i="9"/>
  <c r="D74" i="9"/>
  <c r="AY12" i="22" s="1"/>
  <c r="C74" i="9"/>
  <c r="K73" i="9"/>
  <c r="J73" i="9"/>
  <c r="I73" i="9"/>
  <c r="H73" i="9"/>
  <c r="BJ12" i="22" s="1"/>
  <c r="G73" i="9"/>
  <c r="F73" i="9"/>
  <c r="E73" i="9"/>
  <c r="D73" i="9"/>
  <c r="AX12" i="22" s="1"/>
  <c r="C73" i="9"/>
  <c r="K72" i="9"/>
  <c r="J72" i="9"/>
  <c r="I72" i="9"/>
  <c r="H72" i="9"/>
  <c r="BH12" i="22" s="1"/>
  <c r="G72" i="9"/>
  <c r="F72" i="9"/>
  <c r="E72" i="9"/>
  <c r="D72" i="9"/>
  <c r="C72" i="9"/>
  <c r="AV12" i="22" s="1"/>
  <c r="K71" i="9"/>
  <c r="J71" i="9"/>
  <c r="I71" i="9"/>
  <c r="H71" i="9"/>
  <c r="BG12" i="22" s="1"/>
  <c r="G71" i="9"/>
  <c r="F71" i="9"/>
  <c r="E71" i="9"/>
  <c r="D71" i="9"/>
  <c r="AU12" i="22" s="1"/>
  <c r="C71" i="9"/>
  <c r="K70" i="9"/>
  <c r="J70" i="9"/>
  <c r="I70" i="9"/>
  <c r="H70" i="9"/>
  <c r="BE12" i="22" s="1"/>
  <c r="G70" i="9"/>
  <c r="F70" i="9"/>
  <c r="E70" i="9"/>
  <c r="D70" i="9"/>
  <c r="AS12" i="22" s="1"/>
  <c r="C70" i="9"/>
  <c r="K63" i="9"/>
  <c r="J63" i="9"/>
  <c r="I63" i="9"/>
  <c r="G63" i="9"/>
  <c r="F63" i="9"/>
  <c r="E63" i="9"/>
  <c r="C63" i="9"/>
  <c r="K59" i="9"/>
  <c r="J59" i="9"/>
  <c r="I59" i="9"/>
  <c r="G59" i="9"/>
  <c r="F59" i="9"/>
  <c r="E59" i="9"/>
  <c r="C59" i="9"/>
  <c r="K55" i="9"/>
  <c r="J55" i="9"/>
  <c r="I55" i="9"/>
  <c r="G55" i="9"/>
  <c r="F55" i="9"/>
  <c r="E55" i="9"/>
  <c r="C55" i="9"/>
  <c r="K47" i="9"/>
  <c r="J47" i="9"/>
  <c r="I47" i="9"/>
  <c r="G47" i="9"/>
  <c r="F47" i="9"/>
  <c r="E47" i="9"/>
  <c r="C47" i="9"/>
  <c r="K39" i="9"/>
  <c r="J39" i="9"/>
  <c r="I39" i="9"/>
  <c r="G39" i="9"/>
  <c r="F39" i="9"/>
  <c r="E39" i="9"/>
  <c r="C39" i="9"/>
  <c r="K31" i="9"/>
  <c r="J31" i="9"/>
  <c r="I31" i="9"/>
  <c r="G31" i="9"/>
  <c r="F31" i="9"/>
  <c r="E31" i="9"/>
  <c r="C31" i="9"/>
  <c r="K23" i="9"/>
  <c r="J23" i="9"/>
  <c r="I23" i="9"/>
  <c r="G23" i="9"/>
  <c r="F23" i="9"/>
  <c r="E23" i="9"/>
  <c r="C23" i="9"/>
  <c r="K15" i="9"/>
  <c r="J15" i="9"/>
  <c r="I15" i="9"/>
  <c r="G15" i="9"/>
  <c r="F15" i="9"/>
  <c r="E15" i="9"/>
  <c r="C15" i="9"/>
  <c r="K7" i="9"/>
  <c r="J7" i="9"/>
  <c r="I7" i="9"/>
  <c r="G7" i="9"/>
  <c r="F7" i="9"/>
  <c r="E7" i="9"/>
  <c r="C7" i="9"/>
  <c r="K212" i="1"/>
  <c r="J212" i="1"/>
  <c r="I212" i="1"/>
  <c r="G212" i="1"/>
  <c r="F212" i="1"/>
  <c r="E212" i="1"/>
  <c r="C212" i="1"/>
  <c r="K211" i="1"/>
  <c r="J211" i="1"/>
  <c r="I211" i="1"/>
  <c r="H211" i="1"/>
  <c r="BL11" i="22" s="1"/>
  <c r="G211" i="1"/>
  <c r="F211" i="1"/>
  <c r="E211" i="1"/>
  <c r="C211" i="1"/>
  <c r="K210" i="1"/>
  <c r="J210" i="1"/>
  <c r="I210" i="1"/>
  <c r="G210" i="1"/>
  <c r="F210" i="1"/>
  <c r="E210" i="1"/>
  <c r="C210" i="1"/>
  <c r="K209" i="1"/>
  <c r="J209" i="1"/>
  <c r="I209" i="1"/>
  <c r="K208" i="1"/>
  <c r="J208" i="1"/>
  <c r="I208" i="1"/>
  <c r="G208" i="1"/>
  <c r="F208" i="1"/>
  <c r="E208" i="1"/>
  <c r="C208" i="1"/>
  <c r="K207" i="1"/>
  <c r="J207" i="1"/>
  <c r="I207" i="1"/>
  <c r="G207" i="1"/>
  <c r="F207" i="1"/>
  <c r="E207" i="1"/>
  <c r="C207" i="1"/>
  <c r="K205" i="1"/>
  <c r="J205" i="1"/>
  <c r="I205" i="1"/>
  <c r="G205" i="1"/>
  <c r="F205" i="1"/>
  <c r="E205" i="1"/>
  <c r="C205" i="1"/>
  <c r="D202" i="1"/>
  <c r="K199" i="1"/>
  <c r="J199" i="1"/>
  <c r="I199" i="1"/>
  <c r="G199" i="1"/>
  <c r="F199" i="1"/>
  <c r="E199" i="1"/>
  <c r="C199" i="1"/>
  <c r="D198" i="1"/>
  <c r="K196" i="1"/>
  <c r="J196" i="1"/>
  <c r="I196" i="1"/>
  <c r="G196" i="1"/>
  <c r="F196" i="1"/>
  <c r="E196" i="1"/>
  <c r="C196" i="1"/>
  <c r="H195" i="1"/>
  <c r="F195" i="1"/>
  <c r="F192" i="1" s="1"/>
  <c r="E195" i="1"/>
  <c r="D194" i="1"/>
  <c r="K192" i="1"/>
  <c r="J192" i="1"/>
  <c r="I192" i="1"/>
  <c r="C192" i="1"/>
  <c r="K189" i="1"/>
  <c r="J189" i="1"/>
  <c r="I189" i="1"/>
  <c r="G189" i="1"/>
  <c r="F189" i="1"/>
  <c r="E189" i="1"/>
  <c r="C189" i="1"/>
  <c r="H188" i="1"/>
  <c r="F188" i="1"/>
  <c r="F185" i="1" s="1"/>
  <c r="E188" i="1"/>
  <c r="D187" i="1"/>
  <c r="K185" i="1"/>
  <c r="J185" i="1"/>
  <c r="I185" i="1"/>
  <c r="C185" i="1"/>
  <c r="D184" i="1"/>
  <c r="K183" i="1"/>
  <c r="J183" i="1"/>
  <c r="I183" i="1"/>
  <c r="G183" i="1"/>
  <c r="F183" i="1"/>
  <c r="E183" i="1"/>
  <c r="C183" i="1"/>
  <c r="H182" i="1"/>
  <c r="H181" i="1"/>
  <c r="K180" i="1"/>
  <c r="J180" i="1"/>
  <c r="I180" i="1"/>
  <c r="G180" i="1"/>
  <c r="F180" i="1"/>
  <c r="E180" i="1"/>
  <c r="C180" i="1"/>
  <c r="H179" i="1"/>
  <c r="H178" i="1"/>
  <c r="D178" i="1"/>
  <c r="K177" i="1"/>
  <c r="J177" i="1"/>
  <c r="I177" i="1"/>
  <c r="G177" i="1"/>
  <c r="F177" i="1"/>
  <c r="C177" i="1"/>
  <c r="H176" i="1"/>
  <c r="F176" i="1"/>
  <c r="E176" i="1"/>
  <c r="H175" i="1"/>
  <c r="D175" i="1"/>
  <c r="H174" i="1"/>
  <c r="D174" i="1"/>
  <c r="H173" i="1"/>
  <c r="F173" i="1"/>
  <c r="E173" i="1"/>
  <c r="K172" i="1"/>
  <c r="J172" i="1"/>
  <c r="I172" i="1"/>
  <c r="C172" i="1"/>
  <c r="H171" i="1"/>
  <c r="F171" i="1"/>
  <c r="E171" i="1"/>
  <c r="E168" i="1" s="1"/>
  <c r="H170" i="1"/>
  <c r="D170" i="1"/>
  <c r="H169" i="1"/>
  <c r="D169" i="1"/>
  <c r="K168" i="1"/>
  <c r="J168" i="1"/>
  <c r="I168" i="1"/>
  <c r="C168" i="1"/>
  <c r="H167" i="1"/>
  <c r="F167" i="1"/>
  <c r="H166" i="1"/>
  <c r="D166" i="1"/>
  <c r="H165" i="1"/>
  <c r="D165" i="1"/>
  <c r="H164" i="1"/>
  <c r="F164" i="1"/>
  <c r="E164" i="1"/>
  <c r="H163" i="1"/>
  <c r="D163" i="1"/>
  <c r="K162" i="1"/>
  <c r="J162" i="1"/>
  <c r="I162" i="1"/>
  <c r="C162" i="1"/>
  <c r="H161" i="1"/>
  <c r="F161" i="1"/>
  <c r="E161" i="1"/>
  <c r="H160" i="1"/>
  <c r="D160" i="1"/>
  <c r="H159" i="1"/>
  <c r="D159" i="1"/>
  <c r="H158" i="1"/>
  <c r="F158" i="1"/>
  <c r="E158" i="1"/>
  <c r="H157" i="1"/>
  <c r="D157" i="1"/>
  <c r="H156" i="1"/>
  <c r="D156" i="1"/>
  <c r="J155" i="1"/>
  <c r="I155" i="1"/>
  <c r="C155" i="1"/>
  <c r="K153" i="1"/>
  <c r="J153" i="1"/>
  <c r="I153" i="1"/>
  <c r="K150" i="1"/>
  <c r="J150" i="1"/>
  <c r="I150" i="1"/>
  <c r="G150" i="1"/>
  <c r="F150" i="1"/>
  <c r="E150" i="1"/>
  <c r="C150" i="1"/>
  <c r="D149" i="1"/>
  <c r="K148" i="1"/>
  <c r="J148" i="1"/>
  <c r="I148" i="1"/>
  <c r="G148" i="1"/>
  <c r="F148" i="1"/>
  <c r="E148" i="1"/>
  <c r="C148" i="1"/>
  <c r="H147" i="1"/>
  <c r="F147" i="1"/>
  <c r="F144" i="1" s="1"/>
  <c r="E147" i="1"/>
  <c r="E144" i="1" s="1"/>
  <c r="D146" i="1"/>
  <c r="D145" i="1"/>
  <c r="K144" i="1"/>
  <c r="J144" i="1"/>
  <c r="I144" i="1"/>
  <c r="C144" i="1"/>
  <c r="D142" i="1"/>
  <c r="K141" i="1"/>
  <c r="J141" i="1"/>
  <c r="I141" i="1"/>
  <c r="G141" i="1"/>
  <c r="F141" i="1"/>
  <c r="E141" i="1"/>
  <c r="C141" i="1"/>
  <c r="K138" i="1"/>
  <c r="J138" i="1"/>
  <c r="I138" i="1"/>
  <c r="G138" i="1"/>
  <c r="F138" i="1"/>
  <c r="E138" i="1"/>
  <c r="C138" i="1"/>
  <c r="D136" i="1"/>
  <c r="K135" i="1"/>
  <c r="J135" i="1"/>
  <c r="I135" i="1"/>
  <c r="G135" i="1"/>
  <c r="F135" i="1"/>
  <c r="E135" i="1"/>
  <c r="C135" i="1"/>
  <c r="D133" i="1"/>
  <c r="K132" i="1"/>
  <c r="J132" i="1"/>
  <c r="I132" i="1"/>
  <c r="G132" i="1"/>
  <c r="F132" i="1"/>
  <c r="E132" i="1"/>
  <c r="C132" i="1"/>
  <c r="H131" i="1"/>
  <c r="C131" i="1"/>
  <c r="C130" i="1" s="1"/>
  <c r="K130" i="1"/>
  <c r="J130" i="1"/>
  <c r="I130" i="1"/>
  <c r="H129" i="1"/>
  <c r="D129" i="1"/>
  <c r="H128" i="1"/>
  <c r="K127" i="1"/>
  <c r="J127" i="1"/>
  <c r="I127" i="1"/>
  <c r="G127" i="1"/>
  <c r="F127" i="1"/>
  <c r="E127" i="1"/>
  <c r="C127" i="1"/>
  <c r="D126" i="1"/>
  <c r="K125" i="1"/>
  <c r="J125" i="1"/>
  <c r="I125" i="1"/>
  <c r="G125" i="1"/>
  <c r="F125" i="1"/>
  <c r="E125" i="1"/>
  <c r="C125" i="1"/>
  <c r="H124" i="1"/>
  <c r="F124" i="1"/>
  <c r="E124" i="1"/>
  <c r="E121" i="1" s="1"/>
  <c r="D123" i="1"/>
  <c r="D122" i="1"/>
  <c r="K121" i="1"/>
  <c r="J121" i="1"/>
  <c r="I121" i="1"/>
  <c r="C121" i="1"/>
  <c r="H120" i="1"/>
  <c r="F120" i="1"/>
  <c r="F118" i="1" s="1"/>
  <c r="E120" i="1"/>
  <c r="K118" i="1"/>
  <c r="J118" i="1"/>
  <c r="I118" i="1"/>
  <c r="C118" i="1"/>
  <c r="H117" i="1"/>
  <c r="D117" i="1"/>
  <c r="H116" i="1"/>
  <c r="D116" i="1"/>
  <c r="K115" i="1"/>
  <c r="J115" i="1"/>
  <c r="I115" i="1"/>
  <c r="G115" i="1"/>
  <c r="F115" i="1"/>
  <c r="E115" i="1"/>
  <c r="C115" i="1"/>
  <c r="H114" i="1"/>
  <c r="D114" i="1"/>
  <c r="H113" i="1"/>
  <c r="D113" i="1"/>
  <c r="H112" i="1"/>
  <c r="D112" i="1"/>
  <c r="K111" i="1"/>
  <c r="J111" i="1"/>
  <c r="I111" i="1"/>
  <c r="G111" i="1"/>
  <c r="F111" i="1"/>
  <c r="E111" i="1"/>
  <c r="C111" i="1"/>
  <c r="H110" i="1"/>
  <c r="D110" i="1"/>
  <c r="H109" i="1"/>
  <c r="D109" i="1"/>
  <c r="K108" i="1"/>
  <c r="J108" i="1"/>
  <c r="I108" i="1"/>
  <c r="G108" i="1"/>
  <c r="F108" i="1"/>
  <c r="E108" i="1"/>
  <c r="C108" i="1"/>
  <c r="H107" i="1"/>
  <c r="F107" i="1"/>
  <c r="F104" i="1" s="1"/>
  <c r="E107" i="1"/>
  <c r="E104" i="1" s="1"/>
  <c r="H106" i="1"/>
  <c r="D106" i="1"/>
  <c r="H105" i="1"/>
  <c r="D105" i="1"/>
  <c r="K104" i="1"/>
  <c r="J104" i="1"/>
  <c r="I104" i="1"/>
  <c r="C104" i="1"/>
  <c r="H103" i="1"/>
  <c r="F103" i="1"/>
  <c r="E103" i="1"/>
  <c r="E100" i="1" s="1"/>
  <c r="H102" i="1"/>
  <c r="D102" i="1"/>
  <c r="H101" i="1"/>
  <c r="D101" i="1"/>
  <c r="K100" i="1"/>
  <c r="J100" i="1"/>
  <c r="I100" i="1"/>
  <c r="C100" i="1"/>
  <c r="D99" i="1"/>
  <c r="K98" i="1"/>
  <c r="J98" i="1"/>
  <c r="I98" i="1"/>
  <c r="G98" i="1"/>
  <c r="F98" i="1"/>
  <c r="E98" i="1"/>
  <c r="C98" i="1"/>
  <c r="H96" i="1"/>
  <c r="F96" i="1"/>
  <c r="E96" i="1"/>
  <c r="H95" i="1"/>
  <c r="D95" i="1"/>
  <c r="H94" i="1"/>
  <c r="D94" i="1"/>
  <c r="H93" i="1"/>
  <c r="F93" i="1"/>
  <c r="E93" i="1"/>
  <c r="H90" i="1"/>
  <c r="F90" i="1"/>
  <c r="F87" i="1" s="1"/>
  <c r="E90" i="1"/>
  <c r="H89" i="1"/>
  <c r="D89" i="1"/>
  <c r="H88" i="1"/>
  <c r="D88" i="1"/>
  <c r="K87" i="1"/>
  <c r="J87" i="1"/>
  <c r="I87" i="1"/>
  <c r="C87" i="1"/>
  <c r="H86" i="1"/>
  <c r="F86" i="1"/>
  <c r="F84" i="1" s="1"/>
  <c r="E86" i="1"/>
  <c r="E84" i="1" s="1"/>
  <c r="H85" i="1"/>
  <c r="D85" i="1"/>
  <c r="K84" i="1"/>
  <c r="J84" i="1"/>
  <c r="I84" i="1"/>
  <c r="C84" i="1"/>
  <c r="H83" i="1"/>
  <c r="F83" i="1"/>
  <c r="F79" i="1" s="1"/>
  <c r="E83" i="1"/>
  <c r="E79" i="1" s="1"/>
  <c r="H82" i="1"/>
  <c r="D82" i="1"/>
  <c r="H81" i="1"/>
  <c r="D81" i="1"/>
  <c r="H80" i="1"/>
  <c r="K79" i="1"/>
  <c r="J79" i="1"/>
  <c r="I79" i="1"/>
  <c r="C79" i="1"/>
  <c r="H78" i="1"/>
  <c r="F78" i="1"/>
  <c r="F75" i="1" s="1"/>
  <c r="E78" i="1"/>
  <c r="H77" i="1"/>
  <c r="D77" i="1"/>
  <c r="H76" i="1"/>
  <c r="D76" i="1"/>
  <c r="K75" i="1"/>
  <c r="J75" i="1"/>
  <c r="I75" i="1"/>
  <c r="C75" i="1"/>
  <c r="H74" i="1"/>
  <c r="F74" i="1"/>
  <c r="F71" i="1" s="1"/>
  <c r="E74" i="1"/>
  <c r="H73" i="1"/>
  <c r="D73" i="1"/>
  <c r="H72" i="1"/>
  <c r="D72" i="1"/>
  <c r="K71" i="1"/>
  <c r="J71" i="1"/>
  <c r="I71" i="1"/>
  <c r="C71" i="1"/>
  <c r="H70" i="1"/>
  <c r="F70" i="1"/>
  <c r="F67" i="1" s="1"/>
  <c r="E70" i="1"/>
  <c r="H69" i="1"/>
  <c r="D69" i="1"/>
  <c r="H68" i="1"/>
  <c r="D68" i="1"/>
  <c r="K67" i="1"/>
  <c r="J67" i="1"/>
  <c r="I67" i="1"/>
  <c r="C67" i="1"/>
  <c r="H66" i="1"/>
  <c r="F66" i="1"/>
  <c r="F62" i="1" s="1"/>
  <c r="E66" i="1"/>
  <c r="E62" i="1" s="1"/>
  <c r="H65" i="1"/>
  <c r="D65" i="1"/>
  <c r="H64" i="1"/>
  <c r="D64" i="1"/>
  <c r="H63" i="1"/>
  <c r="K62" i="1"/>
  <c r="J62" i="1"/>
  <c r="I62" i="1"/>
  <c r="C62" i="1"/>
  <c r="H61" i="1"/>
  <c r="F61" i="1"/>
  <c r="F59" i="1" s="1"/>
  <c r="E61" i="1"/>
  <c r="E59" i="1" s="1"/>
  <c r="H60" i="1"/>
  <c r="K59" i="1"/>
  <c r="J59" i="1"/>
  <c r="I59" i="1"/>
  <c r="C59" i="1"/>
  <c r="H58" i="1"/>
  <c r="F58" i="1"/>
  <c r="F56" i="1" s="1"/>
  <c r="E58" i="1"/>
  <c r="E56" i="1" s="1"/>
  <c r="H57" i="1"/>
  <c r="D57" i="1"/>
  <c r="K56" i="1"/>
  <c r="J56" i="1"/>
  <c r="I56" i="1"/>
  <c r="C56" i="1"/>
  <c r="H55" i="1"/>
  <c r="D55" i="1"/>
  <c r="H54" i="1"/>
  <c r="D54" i="1"/>
  <c r="H53" i="1"/>
  <c r="D53" i="1"/>
  <c r="K52" i="1"/>
  <c r="J52" i="1"/>
  <c r="I52" i="1"/>
  <c r="G52" i="1"/>
  <c r="F52" i="1"/>
  <c r="E52" i="1"/>
  <c r="C52" i="1"/>
  <c r="H51" i="1"/>
  <c r="D51" i="1"/>
  <c r="H50" i="1"/>
  <c r="D50" i="1"/>
  <c r="K49" i="1"/>
  <c r="I49" i="1"/>
  <c r="G49" i="1"/>
  <c r="F49" i="1"/>
  <c r="E49" i="1"/>
  <c r="C49" i="1"/>
  <c r="H48" i="1"/>
  <c r="F48" i="1"/>
  <c r="F44" i="1" s="1"/>
  <c r="D47" i="1"/>
  <c r="D46" i="1"/>
  <c r="D211" i="1" s="1"/>
  <c r="AZ11" i="22" s="1"/>
  <c r="D45" i="1"/>
  <c r="K44" i="1"/>
  <c r="I44" i="1"/>
  <c r="C44" i="1"/>
  <c r="H43" i="1"/>
  <c r="F43" i="1"/>
  <c r="F40" i="1" s="1"/>
  <c r="E43" i="1"/>
  <c r="E40" i="1" s="1"/>
  <c r="H42" i="1"/>
  <c r="D42" i="1"/>
  <c r="H41" i="1"/>
  <c r="H205" i="1" s="1"/>
  <c r="BE11" i="22" s="1"/>
  <c r="D41" i="1"/>
  <c r="D205" i="1" s="1"/>
  <c r="AS11" i="22" s="1"/>
  <c r="K40" i="1"/>
  <c r="I40" i="1"/>
  <c r="C40" i="1"/>
  <c r="H39" i="1"/>
  <c r="D39" i="1"/>
  <c r="K38" i="1"/>
  <c r="I38" i="1"/>
  <c r="G38" i="1"/>
  <c r="F38" i="1"/>
  <c r="E38" i="1"/>
  <c r="C38" i="1"/>
  <c r="H37" i="1"/>
  <c r="F37" i="1"/>
  <c r="F33" i="1" s="1"/>
  <c r="E37" i="1"/>
  <c r="H36" i="1"/>
  <c r="D36" i="1"/>
  <c r="H35" i="1"/>
  <c r="D35" i="1"/>
  <c r="H34" i="1"/>
  <c r="K33" i="1"/>
  <c r="I33" i="1"/>
  <c r="C33" i="1"/>
  <c r="H32" i="1"/>
  <c r="D32" i="1"/>
  <c r="H31" i="1"/>
  <c r="D31" i="1"/>
  <c r="K30" i="1"/>
  <c r="I30" i="1"/>
  <c r="G30" i="1"/>
  <c r="F30" i="1"/>
  <c r="E30" i="1"/>
  <c r="C30" i="1"/>
  <c r="H29" i="1"/>
  <c r="H28" i="1"/>
  <c r="K27" i="1"/>
  <c r="G27" i="1"/>
  <c r="E27" i="1"/>
  <c r="C27" i="1"/>
  <c r="H26" i="1"/>
  <c r="F26" i="1"/>
  <c r="F22" i="1" s="1"/>
  <c r="E26" i="1"/>
  <c r="H25" i="1"/>
  <c r="D25" i="1"/>
  <c r="H24" i="1"/>
  <c r="H23" i="1"/>
  <c r="C22" i="1"/>
  <c r="H21" i="1"/>
  <c r="F21" i="1"/>
  <c r="E21" i="1"/>
  <c r="H20" i="1"/>
  <c r="C20" i="1"/>
  <c r="K19" i="1"/>
  <c r="I19" i="1"/>
  <c r="H18" i="1"/>
  <c r="F18" i="1"/>
  <c r="F15" i="1" s="1"/>
  <c r="E18" i="1"/>
  <c r="H17" i="1"/>
  <c r="H16" i="1"/>
  <c r="K15" i="1"/>
  <c r="I15" i="1"/>
  <c r="C15" i="1"/>
  <c r="H14" i="1"/>
  <c r="F14" i="1"/>
  <c r="F12" i="1" s="1"/>
  <c r="E14" i="1"/>
  <c r="H13" i="1"/>
  <c r="D13" i="1"/>
  <c r="K12" i="1"/>
  <c r="I12" i="1"/>
  <c r="C12" i="1"/>
  <c r="H11" i="1"/>
  <c r="F11" i="1"/>
  <c r="E11" i="1"/>
  <c r="H10" i="1"/>
  <c r="H9" i="1"/>
  <c r="H8" i="1"/>
  <c r="K7" i="1"/>
  <c r="J7" i="1"/>
  <c r="I7" i="1"/>
  <c r="C7" i="1"/>
  <c r="K94" i="8"/>
  <c r="J94" i="8"/>
  <c r="I94" i="8"/>
  <c r="H94" i="8"/>
  <c r="BM10" i="22" s="1"/>
  <c r="G94" i="8"/>
  <c r="F94" i="8"/>
  <c r="E94" i="8"/>
  <c r="D94" i="8"/>
  <c r="BA10" i="22" s="1"/>
  <c r="C94" i="8"/>
  <c r="K93" i="8"/>
  <c r="J93" i="8"/>
  <c r="I93" i="8"/>
  <c r="H93" i="8"/>
  <c r="BK10" i="22" s="1"/>
  <c r="G93" i="8"/>
  <c r="F93" i="8"/>
  <c r="E93" i="8"/>
  <c r="D93" i="8"/>
  <c r="AY10" i="22" s="1"/>
  <c r="C93" i="8"/>
  <c r="K91" i="8"/>
  <c r="J91" i="8"/>
  <c r="I91" i="8"/>
  <c r="H91" i="8"/>
  <c r="BH10" i="22" s="1"/>
  <c r="G91" i="8"/>
  <c r="F91" i="8"/>
  <c r="E91" i="8"/>
  <c r="D91" i="8"/>
  <c r="AV10" i="22" s="1"/>
  <c r="C91" i="8"/>
  <c r="K90" i="8"/>
  <c r="J90" i="8"/>
  <c r="I90" i="8"/>
  <c r="H90" i="8"/>
  <c r="BG10" i="22" s="1"/>
  <c r="G90" i="8"/>
  <c r="F90" i="8"/>
  <c r="E90" i="8"/>
  <c r="D90" i="8"/>
  <c r="AU10" i="22" s="1"/>
  <c r="C90" i="8"/>
  <c r="K89" i="8"/>
  <c r="J89" i="8"/>
  <c r="I89" i="8"/>
  <c r="H89" i="8"/>
  <c r="BF10" i="22" s="1"/>
  <c r="G89" i="8"/>
  <c r="F89" i="8"/>
  <c r="E89" i="8"/>
  <c r="D89" i="8"/>
  <c r="AT10" i="22" s="1"/>
  <c r="C89" i="8"/>
  <c r="K88" i="8"/>
  <c r="J88" i="8"/>
  <c r="I88" i="8"/>
  <c r="H88" i="8"/>
  <c r="BE10" i="22" s="1"/>
  <c r="G88" i="8"/>
  <c r="F88" i="8"/>
  <c r="E88" i="8"/>
  <c r="D88" i="8"/>
  <c r="AS10" i="22" s="1"/>
  <c r="C88" i="8"/>
  <c r="K77" i="8"/>
  <c r="J77" i="8"/>
  <c r="I77" i="8"/>
  <c r="G77" i="8"/>
  <c r="F77" i="8"/>
  <c r="E77" i="8"/>
  <c r="C77" i="8"/>
  <c r="K71" i="8"/>
  <c r="J71" i="8"/>
  <c r="I71" i="8"/>
  <c r="G71" i="8"/>
  <c r="F71" i="8"/>
  <c r="E71" i="8"/>
  <c r="C71" i="8"/>
  <c r="K68" i="8"/>
  <c r="J68" i="8"/>
  <c r="I68" i="8"/>
  <c r="G68" i="8"/>
  <c r="F68" i="8"/>
  <c r="E68" i="8"/>
  <c r="C68" i="8"/>
  <c r="K65" i="8"/>
  <c r="J65" i="8"/>
  <c r="I65" i="8"/>
  <c r="G65" i="8"/>
  <c r="F65" i="8"/>
  <c r="E65" i="8"/>
  <c r="C65" i="8"/>
  <c r="K62" i="8"/>
  <c r="J62" i="8"/>
  <c r="I62" i="8"/>
  <c r="G62" i="8"/>
  <c r="F62" i="8"/>
  <c r="E62" i="8"/>
  <c r="C62" i="8"/>
  <c r="K59" i="8"/>
  <c r="J59" i="8"/>
  <c r="I59" i="8"/>
  <c r="G59" i="8"/>
  <c r="F59" i="8"/>
  <c r="E59" i="8"/>
  <c r="C59" i="8"/>
  <c r="K56" i="8"/>
  <c r="J56" i="8"/>
  <c r="I56" i="8"/>
  <c r="G56" i="8"/>
  <c r="F56" i="8"/>
  <c r="E56" i="8"/>
  <c r="C56" i="8"/>
  <c r="K53" i="8"/>
  <c r="J53" i="8"/>
  <c r="I53" i="8"/>
  <c r="G53" i="8"/>
  <c r="F53" i="8"/>
  <c r="E53" i="8"/>
  <c r="C53" i="8"/>
  <c r="K50" i="8"/>
  <c r="J50" i="8"/>
  <c r="I50" i="8"/>
  <c r="G50" i="8"/>
  <c r="F50" i="8"/>
  <c r="E50" i="8"/>
  <c r="C50" i="8"/>
  <c r="K47" i="8"/>
  <c r="J47" i="8"/>
  <c r="I47" i="8"/>
  <c r="G47" i="8"/>
  <c r="F47" i="8"/>
  <c r="E47" i="8"/>
  <c r="C47" i="8"/>
  <c r="K44" i="8"/>
  <c r="J44" i="8"/>
  <c r="I44" i="8"/>
  <c r="G44" i="8"/>
  <c r="F44" i="8"/>
  <c r="E44" i="8"/>
  <c r="C44" i="8"/>
  <c r="K41" i="8"/>
  <c r="J41" i="8"/>
  <c r="I41" i="8"/>
  <c r="G41" i="8"/>
  <c r="F41" i="8"/>
  <c r="E41" i="8"/>
  <c r="C41" i="8"/>
  <c r="K38" i="8"/>
  <c r="J38" i="8"/>
  <c r="I38" i="8"/>
  <c r="G38" i="8"/>
  <c r="F38" i="8"/>
  <c r="E38" i="8"/>
  <c r="C38" i="8"/>
  <c r="K36" i="8"/>
  <c r="J36" i="8"/>
  <c r="I36" i="8"/>
  <c r="G36" i="8"/>
  <c r="F36" i="8"/>
  <c r="E36" i="8"/>
  <c r="C36" i="8"/>
  <c r="K33" i="8"/>
  <c r="J33" i="8"/>
  <c r="I33" i="8"/>
  <c r="G33" i="8"/>
  <c r="F33" i="8"/>
  <c r="E33" i="8"/>
  <c r="C33" i="8"/>
  <c r="K30" i="8"/>
  <c r="J30" i="8"/>
  <c r="I30" i="8"/>
  <c r="G30" i="8"/>
  <c r="F30" i="8"/>
  <c r="E30" i="8"/>
  <c r="C30" i="8"/>
  <c r="K27" i="8"/>
  <c r="J27" i="8"/>
  <c r="I27" i="8"/>
  <c r="G27" i="8"/>
  <c r="F27" i="8"/>
  <c r="E27" i="8"/>
  <c r="C27" i="8"/>
  <c r="K24" i="8"/>
  <c r="J24" i="8"/>
  <c r="I24" i="8"/>
  <c r="G24" i="8"/>
  <c r="F24" i="8"/>
  <c r="E24" i="8"/>
  <c r="C24" i="8"/>
  <c r="K21" i="8"/>
  <c r="J21" i="8"/>
  <c r="I21" i="8"/>
  <c r="G21" i="8"/>
  <c r="F21" i="8"/>
  <c r="E21" i="8"/>
  <c r="C21" i="8"/>
  <c r="K16" i="8"/>
  <c r="J16" i="8"/>
  <c r="I16" i="8"/>
  <c r="G16" i="8"/>
  <c r="F16" i="8"/>
  <c r="E16" i="8"/>
  <c r="C16" i="8"/>
  <c r="K13" i="8"/>
  <c r="J13" i="8"/>
  <c r="I13" i="8"/>
  <c r="G13" i="8"/>
  <c r="F13" i="8"/>
  <c r="E13" i="8"/>
  <c r="C13" i="8"/>
  <c r="K10" i="8"/>
  <c r="J10" i="8"/>
  <c r="I10" i="8"/>
  <c r="G10" i="8"/>
  <c r="F10" i="8"/>
  <c r="E10" i="8"/>
  <c r="C10" i="8"/>
  <c r="K7" i="8"/>
  <c r="J7" i="8"/>
  <c r="I7" i="8"/>
  <c r="G7" i="8"/>
  <c r="F7" i="8"/>
  <c r="E7" i="8"/>
  <c r="C7" i="8"/>
  <c r="H14" i="7"/>
  <c r="BC9" i="22" s="1"/>
  <c r="BB9" i="22" s="1"/>
  <c r="BN9" i="22" s="1"/>
  <c r="D14" i="7"/>
  <c r="AQ9" i="22" s="1"/>
  <c r="AP9" i="22" s="1"/>
  <c r="K7" i="7"/>
  <c r="K6" i="7" s="1"/>
  <c r="S8" i="4" s="1"/>
  <c r="J7" i="7"/>
  <c r="J6" i="7" s="1"/>
  <c r="R8" i="4" s="1"/>
  <c r="I7" i="7"/>
  <c r="I6" i="7" s="1"/>
  <c r="G7" i="7"/>
  <c r="G6" i="7" s="1"/>
  <c r="O8" i="4" s="1"/>
  <c r="F7" i="7"/>
  <c r="F6" i="7" s="1"/>
  <c r="M8" i="4" s="1"/>
  <c r="E7" i="7"/>
  <c r="E6" i="7" s="1"/>
  <c r="L8" i="4" s="1"/>
  <c r="C7" i="7"/>
  <c r="C6" i="7" s="1"/>
  <c r="K87" i="6"/>
  <c r="J87" i="6"/>
  <c r="I87" i="6"/>
  <c r="G87" i="6"/>
  <c r="F87" i="6"/>
  <c r="E87" i="6"/>
  <c r="C87" i="6"/>
  <c r="K86" i="6"/>
  <c r="J86" i="6"/>
  <c r="I86" i="6"/>
  <c r="G86" i="6"/>
  <c r="F86" i="6"/>
  <c r="E86" i="6"/>
  <c r="C86" i="6"/>
  <c r="K85" i="6"/>
  <c r="J85" i="6"/>
  <c r="I85" i="6"/>
  <c r="G85" i="6"/>
  <c r="F85" i="6"/>
  <c r="E85" i="6"/>
  <c r="C85" i="6"/>
  <c r="K84" i="6"/>
  <c r="J84" i="6"/>
  <c r="I84" i="6"/>
  <c r="G84" i="6"/>
  <c r="F84" i="6"/>
  <c r="E84" i="6"/>
  <c r="C84" i="6"/>
  <c r="K83" i="6"/>
  <c r="J83" i="6"/>
  <c r="I83" i="6"/>
  <c r="G83" i="6"/>
  <c r="F83" i="6"/>
  <c r="E83" i="6"/>
  <c r="C83" i="6"/>
  <c r="K82" i="6"/>
  <c r="J82" i="6"/>
  <c r="I82" i="6"/>
  <c r="G82" i="6"/>
  <c r="F82" i="6"/>
  <c r="E82" i="6"/>
  <c r="C82" i="6"/>
  <c r="H80" i="6"/>
  <c r="D80" i="6"/>
  <c r="H79" i="6"/>
  <c r="D79" i="6"/>
  <c r="H78" i="6"/>
  <c r="D78" i="6"/>
  <c r="K77" i="6"/>
  <c r="J77" i="6"/>
  <c r="I77" i="6"/>
  <c r="G77" i="6"/>
  <c r="F77" i="6"/>
  <c r="E77" i="6"/>
  <c r="C77" i="6"/>
  <c r="H75" i="6"/>
  <c r="D75" i="6"/>
  <c r="K74" i="6"/>
  <c r="J74" i="6"/>
  <c r="I74" i="6"/>
  <c r="G74" i="6"/>
  <c r="F74" i="6"/>
  <c r="E74" i="6"/>
  <c r="C74" i="6"/>
  <c r="H72" i="6"/>
  <c r="K71" i="6"/>
  <c r="J71" i="6"/>
  <c r="I71" i="6"/>
  <c r="G71" i="6"/>
  <c r="F71" i="6"/>
  <c r="E71" i="6"/>
  <c r="C71" i="6"/>
  <c r="H69" i="6"/>
  <c r="D69" i="6"/>
  <c r="K68" i="6"/>
  <c r="J68" i="6"/>
  <c r="I68" i="6"/>
  <c r="G68" i="6"/>
  <c r="F68" i="6"/>
  <c r="E68" i="6"/>
  <c r="C68" i="6"/>
  <c r="H66" i="6"/>
  <c r="D66" i="6"/>
  <c r="K65" i="6"/>
  <c r="J65" i="6"/>
  <c r="I65" i="6"/>
  <c r="G65" i="6"/>
  <c r="F65" i="6"/>
  <c r="E65" i="6"/>
  <c r="C65" i="6"/>
  <c r="H64" i="6"/>
  <c r="D64" i="6"/>
  <c r="H63" i="6"/>
  <c r="K62" i="6"/>
  <c r="J62" i="6"/>
  <c r="I62" i="6"/>
  <c r="G62" i="6"/>
  <c r="F62" i="6"/>
  <c r="E62" i="6"/>
  <c r="C62" i="6"/>
  <c r="H61" i="6"/>
  <c r="D61" i="6"/>
  <c r="H60" i="6"/>
  <c r="K59" i="6"/>
  <c r="J59" i="6"/>
  <c r="I59" i="6"/>
  <c r="G59" i="6"/>
  <c r="F59" i="6"/>
  <c r="E59" i="6"/>
  <c r="C59" i="6"/>
  <c r="H57" i="6"/>
  <c r="D57" i="6"/>
  <c r="K56" i="6"/>
  <c r="J56" i="6"/>
  <c r="I56" i="6"/>
  <c r="G56" i="6"/>
  <c r="F56" i="6"/>
  <c r="C56" i="6"/>
  <c r="H54" i="6"/>
  <c r="D54" i="6"/>
  <c r="K53" i="6"/>
  <c r="J53" i="6"/>
  <c r="I53" i="6"/>
  <c r="G53" i="6"/>
  <c r="F53" i="6"/>
  <c r="E53" i="6"/>
  <c r="C53" i="6"/>
  <c r="H51" i="6"/>
  <c r="D51" i="6"/>
  <c r="K50" i="6"/>
  <c r="J50" i="6"/>
  <c r="I50" i="6"/>
  <c r="G50" i="6"/>
  <c r="F50" i="6"/>
  <c r="E50" i="6"/>
  <c r="C50" i="6"/>
  <c r="H48" i="6"/>
  <c r="K47" i="6"/>
  <c r="J47" i="6"/>
  <c r="I47" i="6"/>
  <c r="G47" i="6"/>
  <c r="F47" i="6"/>
  <c r="E47" i="6"/>
  <c r="C47" i="6"/>
  <c r="H45" i="6"/>
  <c r="D45" i="6"/>
  <c r="K44" i="6"/>
  <c r="J44" i="6"/>
  <c r="I44" i="6"/>
  <c r="G44" i="6"/>
  <c r="F44" i="6"/>
  <c r="E44" i="6"/>
  <c r="C44" i="6"/>
  <c r="H42" i="6"/>
  <c r="D42" i="6"/>
  <c r="K41" i="6"/>
  <c r="J41" i="6"/>
  <c r="I41" i="6"/>
  <c r="G41" i="6"/>
  <c r="F41" i="6"/>
  <c r="E41" i="6"/>
  <c r="C41" i="6"/>
  <c r="H39" i="6"/>
  <c r="D39" i="6"/>
  <c r="K38" i="6"/>
  <c r="I38" i="6"/>
  <c r="G38" i="6"/>
  <c r="F38" i="6"/>
  <c r="E38" i="6"/>
  <c r="C38" i="6"/>
  <c r="H36" i="6"/>
  <c r="D36" i="6"/>
  <c r="H35" i="6"/>
  <c r="D35" i="6"/>
  <c r="K34" i="6"/>
  <c r="J34" i="6"/>
  <c r="I34" i="6"/>
  <c r="G34" i="6"/>
  <c r="F34" i="6"/>
  <c r="E34" i="6"/>
  <c r="C34" i="6"/>
  <c r="H32" i="6"/>
  <c r="D32" i="6"/>
  <c r="K31" i="6"/>
  <c r="J31" i="6"/>
  <c r="I31" i="6"/>
  <c r="G31" i="6"/>
  <c r="F31" i="6"/>
  <c r="E31" i="6"/>
  <c r="C31" i="6"/>
  <c r="H29" i="6"/>
  <c r="D29" i="6"/>
  <c r="K28" i="6"/>
  <c r="J28" i="6"/>
  <c r="I28" i="6"/>
  <c r="G28" i="6"/>
  <c r="F28" i="6"/>
  <c r="E28" i="6"/>
  <c r="C28" i="6"/>
  <c r="H26" i="6"/>
  <c r="D26" i="6"/>
  <c r="K25" i="6"/>
  <c r="J25" i="6"/>
  <c r="I25" i="6"/>
  <c r="G25" i="6"/>
  <c r="F25" i="6"/>
  <c r="E25" i="6"/>
  <c r="C25" i="6"/>
  <c r="H23" i="6"/>
  <c r="D23" i="6"/>
  <c r="K22" i="6"/>
  <c r="J22" i="6"/>
  <c r="I22" i="6"/>
  <c r="G22" i="6"/>
  <c r="F22" i="6"/>
  <c r="E22" i="6"/>
  <c r="C22" i="6"/>
  <c r="H20" i="6"/>
  <c r="D20" i="6"/>
  <c r="K19" i="6"/>
  <c r="J19" i="6"/>
  <c r="I19" i="6"/>
  <c r="G19" i="6"/>
  <c r="F19" i="6"/>
  <c r="E19" i="6"/>
  <c r="C19" i="6"/>
  <c r="H17" i="6"/>
  <c r="D17" i="6"/>
  <c r="K16" i="6"/>
  <c r="J16" i="6"/>
  <c r="I16" i="6"/>
  <c r="G16" i="6"/>
  <c r="F16" i="6"/>
  <c r="E16" i="6"/>
  <c r="C16" i="6"/>
  <c r="H14" i="6"/>
  <c r="D14" i="6"/>
  <c r="K13" i="6"/>
  <c r="J13" i="6"/>
  <c r="I13" i="6"/>
  <c r="G13" i="6"/>
  <c r="F13" i="6"/>
  <c r="E13" i="6"/>
  <c r="C13" i="6"/>
  <c r="H11" i="6"/>
  <c r="D11" i="6"/>
  <c r="H10" i="6"/>
  <c r="D10" i="6"/>
  <c r="H9" i="6"/>
  <c r="D9" i="6"/>
  <c r="H8" i="6"/>
  <c r="H82" i="6" s="1"/>
  <c r="BE8" i="22" s="1"/>
  <c r="D8" i="6"/>
  <c r="D82" i="6" s="1"/>
  <c r="AS8" i="22" s="1"/>
  <c r="K7" i="6"/>
  <c r="J7" i="6"/>
  <c r="I7" i="6"/>
  <c r="G7" i="6"/>
  <c r="F7" i="6"/>
  <c r="E7" i="6"/>
  <c r="C7" i="6"/>
  <c r="K139" i="5"/>
  <c r="J139" i="5"/>
  <c r="G139" i="5"/>
  <c r="F139" i="5"/>
  <c r="E139" i="5"/>
  <c r="C139" i="5"/>
  <c r="K138" i="5"/>
  <c r="J138" i="5"/>
  <c r="I138" i="5"/>
  <c r="H138" i="5"/>
  <c r="BJ7" i="22" s="1"/>
  <c r="G138" i="5"/>
  <c r="F138" i="5"/>
  <c r="E138" i="5"/>
  <c r="D138" i="5"/>
  <c r="C138" i="5"/>
  <c r="AX7" i="22" s="1"/>
  <c r="BH7" i="22"/>
  <c r="AV7" i="22"/>
  <c r="BG7" i="22"/>
  <c r="AU7" i="22"/>
  <c r="BF7" i="22"/>
  <c r="AT7" i="22"/>
  <c r="AS7" i="22"/>
  <c r="H132" i="5"/>
  <c r="H139" i="5" s="1"/>
  <c r="BC7" i="22" s="1"/>
  <c r="D132" i="5"/>
  <c r="D139" i="5" s="1"/>
  <c r="AQ7" i="22" s="1"/>
  <c r="K126" i="5"/>
  <c r="J126" i="5"/>
  <c r="I126" i="5"/>
  <c r="G126" i="5"/>
  <c r="F126" i="5"/>
  <c r="E126" i="5"/>
  <c r="C126" i="5"/>
  <c r="K120" i="5"/>
  <c r="J120" i="5"/>
  <c r="I120" i="5"/>
  <c r="G120" i="5"/>
  <c r="F120" i="5"/>
  <c r="E120" i="5"/>
  <c r="C120" i="5"/>
  <c r="K114" i="5"/>
  <c r="J114" i="5"/>
  <c r="I114" i="5"/>
  <c r="G114" i="5"/>
  <c r="F114" i="5"/>
  <c r="E114" i="5"/>
  <c r="C114" i="5"/>
  <c r="K108" i="5"/>
  <c r="J108" i="5"/>
  <c r="I108" i="5"/>
  <c r="G108" i="5"/>
  <c r="F108" i="5"/>
  <c r="E108" i="5"/>
  <c r="C108" i="5"/>
  <c r="K102" i="5"/>
  <c r="J102" i="5"/>
  <c r="I102" i="5"/>
  <c r="G102" i="5"/>
  <c r="F102" i="5"/>
  <c r="E102" i="5"/>
  <c r="C102" i="5"/>
  <c r="K99" i="5"/>
  <c r="J99" i="5"/>
  <c r="I99" i="5"/>
  <c r="G99" i="5"/>
  <c r="F99" i="5"/>
  <c r="E99" i="5"/>
  <c r="C99" i="5"/>
  <c r="K96" i="5"/>
  <c r="J96" i="5"/>
  <c r="I96" i="5"/>
  <c r="G96" i="5"/>
  <c r="F96" i="5"/>
  <c r="E96" i="5"/>
  <c r="C96" i="5"/>
  <c r="K90" i="5"/>
  <c r="J90" i="5"/>
  <c r="I90" i="5"/>
  <c r="G90" i="5"/>
  <c r="F90" i="5"/>
  <c r="E90" i="5"/>
  <c r="C90" i="5"/>
  <c r="K79" i="5"/>
  <c r="J79" i="5"/>
  <c r="I79" i="5"/>
  <c r="G79" i="5"/>
  <c r="F79" i="5"/>
  <c r="E79" i="5"/>
  <c r="C79" i="5"/>
  <c r="K76" i="5"/>
  <c r="J76" i="5"/>
  <c r="I76" i="5"/>
  <c r="G76" i="5"/>
  <c r="F76" i="5"/>
  <c r="E76" i="5"/>
  <c r="C76" i="5"/>
  <c r="K73" i="5"/>
  <c r="J73" i="5"/>
  <c r="I73" i="5"/>
  <c r="G73" i="5"/>
  <c r="F73" i="5"/>
  <c r="E73" i="5"/>
  <c r="C73" i="5"/>
  <c r="K70" i="5"/>
  <c r="J70" i="5"/>
  <c r="I70" i="5"/>
  <c r="G70" i="5"/>
  <c r="F70" i="5"/>
  <c r="E70" i="5"/>
  <c r="C70" i="5"/>
  <c r="K67" i="5"/>
  <c r="J67" i="5"/>
  <c r="I67" i="5"/>
  <c r="G67" i="5"/>
  <c r="F67" i="5"/>
  <c r="E67" i="5"/>
  <c r="C67" i="5"/>
  <c r="K60" i="5"/>
  <c r="J60" i="5"/>
  <c r="I60" i="5"/>
  <c r="G60" i="5"/>
  <c r="F60" i="5"/>
  <c r="E60" i="5"/>
  <c r="K53" i="5"/>
  <c r="J53" i="5"/>
  <c r="I53" i="5"/>
  <c r="G53" i="5"/>
  <c r="F53" i="5"/>
  <c r="E53" i="5"/>
  <c r="C53" i="5"/>
  <c r="K50" i="5"/>
  <c r="J50" i="5"/>
  <c r="I50" i="5"/>
  <c r="G50" i="5"/>
  <c r="F50" i="5"/>
  <c r="E50" i="5"/>
  <c r="C50" i="5"/>
  <c r="K47" i="5"/>
  <c r="J47" i="5"/>
  <c r="I47" i="5"/>
  <c r="G47" i="5"/>
  <c r="F47" i="5"/>
  <c r="E47" i="5"/>
  <c r="C47" i="5"/>
  <c r="K44" i="5"/>
  <c r="J44" i="5"/>
  <c r="I44" i="5"/>
  <c r="G44" i="5"/>
  <c r="F44" i="5"/>
  <c r="E44" i="5"/>
  <c r="C44" i="5"/>
  <c r="K36" i="5"/>
  <c r="J36" i="5"/>
  <c r="I36" i="5"/>
  <c r="G36" i="5"/>
  <c r="F36" i="5"/>
  <c r="E36" i="5"/>
  <c r="C36" i="5"/>
  <c r="K33" i="5"/>
  <c r="J33" i="5"/>
  <c r="I33" i="5"/>
  <c r="G33" i="5"/>
  <c r="F33" i="5"/>
  <c r="E33" i="5"/>
  <c r="C33" i="5"/>
  <c r="K30" i="5"/>
  <c r="J30" i="5"/>
  <c r="I30" i="5"/>
  <c r="G30" i="5"/>
  <c r="F30" i="5"/>
  <c r="E30" i="5"/>
  <c r="C30" i="5"/>
  <c r="K27" i="5"/>
  <c r="J27" i="5"/>
  <c r="I27" i="5"/>
  <c r="G27" i="5"/>
  <c r="F27" i="5"/>
  <c r="E27" i="5"/>
  <c r="C27" i="5"/>
  <c r="K21" i="5"/>
  <c r="J21" i="5"/>
  <c r="I21" i="5"/>
  <c r="G21" i="5"/>
  <c r="F21" i="5"/>
  <c r="E21" i="5"/>
  <c r="C21" i="5"/>
  <c r="K16" i="5"/>
  <c r="J16" i="5"/>
  <c r="I16" i="5"/>
  <c r="G16" i="5"/>
  <c r="F16" i="5"/>
  <c r="E16" i="5"/>
  <c r="C16" i="5"/>
  <c r="K13" i="5"/>
  <c r="J13" i="5"/>
  <c r="I13" i="5"/>
  <c r="G13" i="5"/>
  <c r="F13" i="5"/>
  <c r="E13" i="5"/>
  <c r="C13" i="5"/>
  <c r="H8" i="5"/>
  <c r="H134" i="5" s="1"/>
  <c r="K7" i="5"/>
  <c r="J7" i="5"/>
  <c r="I7" i="5"/>
  <c r="G7" i="5"/>
  <c r="F7" i="5"/>
  <c r="E7" i="5"/>
  <c r="C7" i="5"/>
  <c r="I26" i="4"/>
  <c r="H26" i="4"/>
  <c r="G26" i="4"/>
  <c r="E26" i="4"/>
  <c r="D26" i="4"/>
  <c r="C26" i="4"/>
  <c r="J25" i="4"/>
  <c r="F25" i="4"/>
  <c r="Q24" i="4"/>
  <c r="J24" i="4"/>
  <c r="F24" i="4"/>
  <c r="J23" i="4"/>
  <c r="F23" i="4"/>
  <c r="J22" i="4"/>
  <c r="F22" i="4"/>
  <c r="J21" i="4"/>
  <c r="F21" i="4"/>
  <c r="J20" i="4"/>
  <c r="F20" i="4"/>
  <c r="J19" i="4"/>
  <c r="F19" i="4"/>
  <c r="J18" i="4"/>
  <c r="F18" i="4"/>
  <c r="J17" i="4"/>
  <c r="F17" i="4"/>
  <c r="J16" i="4"/>
  <c r="F16" i="4"/>
  <c r="J15" i="4"/>
  <c r="F15" i="4"/>
  <c r="J14" i="4"/>
  <c r="F14" i="4"/>
  <c r="J13" i="4"/>
  <c r="F13" i="4"/>
  <c r="J12" i="4"/>
  <c r="F12" i="4"/>
  <c r="J11" i="4"/>
  <c r="F11" i="4"/>
  <c r="J10" i="4"/>
  <c r="F10" i="4"/>
  <c r="J9" i="4"/>
  <c r="F9" i="4"/>
  <c r="J8" i="4"/>
  <c r="F8" i="4"/>
  <c r="J7" i="4"/>
  <c r="F7" i="4"/>
  <c r="J6" i="4"/>
  <c r="F6" i="4"/>
  <c r="C6" i="11" l="1"/>
  <c r="J6" i="11"/>
  <c r="F6" i="11"/>
  <c r="S24" i="4"/>
  <c r="H68" i="11"/>
  <c r="BK14" i="22" s="1"/>
  <c r="I6" i="19"/>
  <c r="C6" i="8"/>
  <c r="I6" i="8"/>
  <c r="I6" i="10"/>
  <c r="E6" i="11"/>
  <c r="D7" i="11"/>
  <c r="K6" i="11"/>
  <c r="H220" i="13"/>
  <c r="D216" i="13"/>
  <c r="J6" i="19"/>
  <c r="G6" i="11"/>
  <c r="K6" i="19"/>
  <c r="E6" i="10"/>
  <c r="I6" i="11"/>
  <c r="D68" i="11"/>
  <c r="AY14" i="22" s="1"/>
  <c r="D220" i="13"/>
  <c r="H213" i="1"/>
  <c r="BD11" i="22" s="1"/>
  <c r="D213" i="1"/>
  <c r="AR11" i="22" s="1"/>
  <c r="E91" i="1"/>
  <c r="E6" i="8"/>
  <c r="F6" i="8"/>
  <c r="K6" i="8"/>
  <c r="S9" i="4" s="1"/>
  <c r="J6" i="8"/>
  <c r="R9" i="4" s="1"/>
  <c r="G6" i="8"/>
  <c r="F91" i="1"/>
  <c r="D215" i="13"/>
  <c r="H132" i="1"/>
  <c r="C6" i="3"/>
  <c r="F6" i="5"/>
  <c r="M6" i="4" s="1"/>
  <c r="K6" i="5"/>
  <c r="K141" i="5" s="1"/>
  <c r="BB10" i="22"/>
  <c r="BN10" i="22" s="1"/>
  <c r="E7" i="1"/>
  <c r="E214" i="1"/>
  <c r="F214" i="1"/>
  <c r="H214" i="1"/>
  <c r="BC11" i="22" s="1"/>
  <c r="D214" i="13"/>
  <c r="AP10" i="22"/>
  <c r="G6" i="5"/>
  <c r="G141" i="5" s="1"/>
  <c r="C6" i="5"/>
  <c r="I6" i="5"/>
  <c r="I141" i="5" s="1"/>
  <c r="E6" i="5"/>
  <c r="E141" i="5" s="1"/>
  <c r="J6" i="5"/>
  <c r="J141" i="5" s="1"/>
  <c r="BD16" i="22"/>
  <c r="AR16" i="22"/>
  <c r="H141" i="20"/>
  <c r="D141" i="20"/>
  <c r="H7" i="15"/>
  <c r="H23" i="15"/>
  <c r="H35" i="15"/>
  <c r="H49" i="15"/>
  <c r="D102" i="14"/>
  <c r="AU17" i="22" s="1"/>
  <c r="H102" i="14"/>
  <c r="H89" i="17"/>
  <c r="BH21" i="22" s="1"/>
  <c r="F221" i="13"/>
  <c r="F222" i="13" s="1"/>
  <c r="H217" i="13"/>
  <c r="BI16" i="22" s="1"/>
  <c r="BI27" i="22" s="1"/>
  <c r="H219" i="13"/>
  <c r="BK16" i="22" s="1"/>
  <c r="H216" i="13"/>
  <c r="BH16" i="22" s="1"/>
  <c r="E7" i="13"/>
  <c r="E221" i="13"/>
  <c r="H214" i="13"/>
  <c r="BF16" i="22" s="1"/>
  <c r="H218" i="13"/>
  <c r="BJ16" i="22" s="1"/>
  <c r="H221" i="13"/>
  <c r="BC16" i="22" s="1"/>
  <c r="H215" i="13"/>
  <c r="BG16" i="22" s="1"/>
  <c r="D101" i="14"/>
  <c r="AT17" i="22" s="1"/>
  <c r="D103" i="14"/>
  <c r="H101" i="14"/>
  <c r="BF17" i="22" s="1"/>
  <c r="C141" i="5"/>
  <c r="H87" i="17"/>
  <c r="BF21" i="22" s="1"/>
  <c r="H10" i="16"/>
  <c r="D13" i="16"/>
  <c r="D25" i="16"/>
  <c r="H19" i="15"/>
  <c r="H32" i="15"/>
  <c r="H46" i="15"/>
  <c r="H15" i="15"/>
  <c r="H29" i="15"/>
  <c r="H43" i="15"/>
  <c r="H55" i="15"/>
  <c r="H11" i="15"/>
  <c r="H26" i="15"/>
  <c r="D29" i="15"/>
  <c r="H39" i="15"/>
  <c r="H52" i="15"/>
  <c r="H23" i="9"/>
  <c r="H15" i="9"/>
  <c r="D23" i="9"/>
  <c r="D15" i="9"/>
  <c r="E33" i="17"/>
  <c r="E92" i="17"/>
  <c r="F13" i="17"/>
  <c r="F92" i="17"/>
  <c r="F93" i="17" s="1"/>
  <c r="H92" i="17"/>
  <c r="BC21" i="22" s="1"/>
  <c r="E107" i="14"/>
  <c r="E108" i="14" s="1"/>
  <c r="H103" i="14"/>
  <c r="BH17" i="22" s="1"/>
  <c r="F16" i="14"/>
  <c r="F107" i="14"/>
  <c r="F108" i="14" s="1"/>
  <c r="AX16" i="22"/>
  <c r="I581" i="3"/>
  <c r="J581" i="3"/>
  <c r="K581" i="3"/>
  <c r="D43" i="15"/>
  <c r="D35" i="15"/>
  <c r="AS26" i="22"/>
  <c r="BE26" i="22"/>
  <c r="BB26" i="22" s="1"/>
  <c r="BN26" i="22" s="1"/>
  <c r="H581" i="3"/>
  <c r="D55" i="15"/>
  <c r="D52" i="15"/>
  <c r="D49" i="15"/>
  <c r="D39" i="15"/>
  <c r="D46" i="15"/>
  <c r="D32" i="15"/>
  <c r="D26" i="15"/>
  <c r="D23" i="15"/>
  <c r="D19" i="15"/>
  <c r="D15" i="15"/>
  <c r="D11" i="15"/>
  <c r="D7" i="15"/>
  <c r="H107" i="14"/>
  <c r="BC17" i="22" s="1"/>
  <c r="I6" i="3"/>
  <c r="Q25" i="4" s="1"/>
  <c r="E6" i="3"/>
  <c r="L25" i="4" s="1"/>
  <c r="K6" i="16"/>
  <c r="K94" i="16" s="1"/>
  <c r="J6" i="16"/>
  <c r="J94" i="16" s="1"/>
  <c r="I6" i="16"/>
  <c r="Q19" i="4" s="1"/>
  <c r="D34" i="16"/>
  <c r="D72" i="2"/>
  <c r="D80" i="2"/>
  <c r="I6" i="1"/>
  <c r="Q10" i="4" s="1"/>
  <c r="H7" i="16"/>
  <c r="F155" i="1"/>
  <c r="AP25" i="22"/>
  <c r="BB25" i="22"/>
  <c r="BN25" i="22" s="1"/>
  <c r="AP24" i="22"/>
  <c r="BB24" i="22"/>
  <c r="BN24" i="22" s="1"/>
  <c r="BB22" i="22"/>
  <c r="BN22" i="22" s="1"/>
  <c r="H88" i="17"/>
  <c r="BG21" i="22" s="1"/>
  <c r="D28" i="16"/>
  <c r="D37" i="16"/>
  <c r="AP20" i="22"/>
  <c r="BB20" i="22"/>
  <c r="BN20" i="22" s="1"/>
  <c r="D10" i="16"/>
  <c r="D22" i="16"/>
  <c r="D31" i="16"/>
  <c r="D7" i="16"/>
  <c r="D19" i="16"/>
  <c r="D9" i="2"/>
  <c r="H9" i="2"/>
  <c r="AP18" i="22"/>
  <c r="BB18" i="22"/>
  <c r="BN18" i="22" s="1"/>
  <c r="I6" i="12"/>
  <c r="AP15" i="22"/>
  <c r="BB15" i="22"/>
  <c r="BN15" i="22" s="1"/>
  <c r="AP12" i="22"/>
  <c r="BB12" i="22"/>
  <c r="BN12" i="22" s="1"/>
  <c r="E172" i="1"/>
  <c r="H7" i="2"/>
  <c r="H11" i="2"/>
  <c r="D11" i="2"/>
  <c r="D47" i="2"/>
  <c r="BB19" i="22"/>
  <c r="BN19" i="22" s="1"/>
  <c r="D42" i="2"/>
  <c r="J6" i="3"/>
  <c r="J582" i="3" s="1"/>
  <c r="K6" i="2"/>
  <c r="I6" i="2"/>
  <c r="Q18" i="4" s="1"/>
  <c r="J6" i="2"/>
  <c r="D38" i="2"/>
  <c r="D40" i="2"/>
  <c r="AP7" i="22"/>
  <c r="D94" i="19"/>
  <c r="Q22" i="4"/>
  <c r="R22" i="4"/>
  <c r="D97" i="19"/>
  <c r="D100" i="19"/>
  <c r="D109" i="19"/>
  <c r="D112" i="19"/>
  <c r="D118" i="19"/>
  <c r="D121" i="19"/>
  <c r="K6" i="3"/>
  <c r="K582" i="3" s="1"/>
  <c r="D36" i="2"/>
  <c r="H94" i="19"/>
  <c r="H106" i="19"/>
  <c r="H115" i="19"/>
  <c r="H97" i="19"/>
  <c r="H100" i="19"/>
  <c r="H103" i="19"/>
  <c r="D106" i="19"/>
  <c r="H109" i="19"/>
  <c r="H112" i="19"/>
  <c r="D115" i="19"/>
  <c r="H118" i="19"/>
  <c r="H121" i="19"/>
  <c r="BB23" i="22"/>
  <c r="BN23" i="22" s="1"/>
  <c r="I6" i="6"/>
  <c r="K6" i="6"/>
  <c r="J6" i="6"/>
  <c r="C6" i="6"/>
  <c r="C89" i="6" s="1"/>
  <c r="H28" i="16"/>
  <c r="H34" i="16"/>
  <c r="H31" i="16"/>
  <c r="H25" i="16"/>
  <c r="H37" i="16"/>
  <c r="H19" i="16"/>
  <c r="H13" i="16"/>
  <c r="H22" i="16"/>
  <c r="E6" i="6"/>
  <c r="F6" i="6"/>
  <c r="G6" i="6"/>
  <c r="H16" i="2"/>
  <c r="J6" i="18"/>
  <c r="K6" i="18"/>
  <c r="S21" i="4" s="1"/>
  <c r="I6" i="18"/>
  <c r="H105" i="18"/>
  <c r="K6" i="13"/>
  <c r="C6" i="14"/>
  <c r="C109" i="14" s="1"/>
  <c r="I6" i="14"/>
  <c r="J6" i="14"/>
  <c r="K6" i="14"/>
  <c r="AW16" i="22"/>
  <c r="AW27" i="22" s="1"/>
  <c r="H185" i="1"/>
  <c r="D16" i="2"/>
  <c r="J6" i="12"/>
  <c r="F64" i="21"/>
  <c r="R24" i="4"/>
  <c r="G64" i="21"/>
  <c r="H72" i="2"/>
  <c r="H36" i="2"/>
  <c r="H42" i="2"/>
  <c r="H47" i="2"/>
  <c r="H52" i="2"/>
  <c r="H38" i="2"/>
  <c r="H80" i="2"/>
  <c r="H21" i="2"/>
  <c r="H33" i="2"/>
  <c r="H40" i="2"/>
  <c r="H60" i="2"/>
  <c r="H66" i="2"/>
  <c r="D56" i="6"/>
  <c r="H88" i="2"/>
  <c r="H77" i="2"/>
  <c r="H63" i="2"/>
  <c r="H27" i="2"/>
  <c r="H24" i="2"/>
  <c r="H18" i="2"/>
  <c r="H13" i="2"/>
  <c r="H49" i="2"/>
  <c r="H44" i="2"/>
  <c r="H30" i="2"/>
  <c r="H74" i="2"/>
  <c r="H57" i="2"/>
  <c r="H94" i="2"/>
  <c r="H54" i="2"/>
  <c r="H91" i="2"/>
  <c r="H69" i="2"/>
  <c r="H82" i="2"/>
  <c r="H85" i="2"/>
  <c r="K6" i="12"/>
  <c r="K34" i="12" s="1"/>
  <c r="F6" i="3"/>
  <c r="M25" i="4" s="1"/>
  <c r="F162" i="1"/>
  <c r="H153" i="1"/>
  <c r="J6" i="1"/>
  <c r="O7" i="14"/>
  <c r="K6" i="1"/>
  <c r="C6" i="16"/>
  <c r="C94" i="16" s="1"/>
  <c r="D206" i="1"/>
  <c r="AT11" i="22" s="1"/>
  <c r="G6" i="16"/>
  <c r="O19" i="4" s="1"/>
  <c r="E6" i="16"/>
  <c r="L19" i="4" s="1"/>
  <c r="F6" i="16"/>
  <c r="M19" i="4" s="1"/>
  <c r="H35" i="10"/>
  <c r="BK13" i="22" s="1"/>
  <c r="H206" i="1"/>
  <c r="BF11" i="22" s="1"/>
  <c r="K6" i="10"/>
  <c r="H17" i="10"/>
  <c r="F41" i="14"/>
  <c r="D54" i="2"/>
  <c r="D85" i="2"/>
  <c r="H19" i="12"/>
  <c r="D69" i="2"/>
  <c r="D24" i="18"/>
  <c r="H59" i="18"/>
  <c r="H79" i="18"/>
  <c r="G102" i="2"/>
  <c r="D82" i="2"/>
  <c r="H7" i="5"/>
  <c r="D33" i="5"/>
  <c r="H7" i="6"/>
  <c r="H83" i="6"/>
  <c r="BF8" i="22" s="1"/>
  <c r="D13" i="6"/>
  <c r="H16" i="6"/>
  <c r="D36" i="8"/>
  <c r="F37" i="10"/>
  <c r="K6" i="15"/>
  <c r="K69" i="15" s="1"/>
  <c r="H121" i="18"/>
  <c r="H6" i="7"/>
  <c r="H36" i="8"/>
  <c r="D121" i="18"/>
  <c r="F26" i="4"/>
  <c r="D47" i="5"/>
  <c r="H73" i="5"/>
  <c r="D83" i="6"/>
  <c r="AT8" i="22" s="1"/>
  <c r="H84" i="6"/>
  <c r="BG8" i="22" s="1"/>
  <c r="H59" i="6"/>
  <c r="D45" i="11"/>
  <c r="H48" i="11"/>
  <c r="H50" i="18"/>
  <c r="D19" i="12"/>
  <c r="D90" i="5"/>
  <c r="D96" i="5"/>
  <c r="H99" i="5"/>
  <c r="D68" i="8"/>
  <c r="D31" i="9"/>
  <c r="H10" i="10"/>
  <c r="D36" i="11"/>
  <c r="D111" i="18"/>
  <c r="H91" i="19"/>
  <c r="D91" i="19"/>
  <c r="H65" i="19"/>
  <c r="D67" i="11"/>
  <c r="AX14" i="22" s="1"/>
  <c r="AS16" i="22"/>
  <c r="H24" i="18"/>
  <c r="J26" i="4"/>
  <c r="H36" i="11"/>
  <c r="K8" i="4"/>
  <c r="N8" i="4" s="1"/>
  <c r="H33" i="5"/>
  <c r="H114" i="5"/>
  <c r="D19" i="6"/>
  <c r="D53" i="6"/>
  <c r="H56" i="6"/>
  <c r="D62" i="6"/>
  <c r="H74" i="6"/>
  <c r="H13" i="8"/>
  <c r="H30" i="8"/>
  <c r="C77" i="9"/>
  <c r="G77" i="9"/>
  <c r="K77" i="9"/>
  <c r="F77" i="9"/>
  <c r="J77" i="9"/>
  <c r="G6" i="10"/>
  <c r="J37" i="10"/>
  <c r="H69" i="11"/>
  <c r="BC14" i="22" s="1"/>
  <c r="D23" i="11"/>
  <c r="C6" i="12"/>
  <c r="C34" i="12" s="1"/>
  <c r="G6" i="12"/>
  <c r="O14" i="4" s="1"/>
  <c r="F102" i="2"/>
  <c r="J102" i="2"/>
  <c r="D69" i="16"/>
  <c r="H21" i="5"/>
  <c r="H27" i="5"/>
  <c r="H53" i="5"/>
  <c r="D67" i="5"/>
  <c r="H86" i="6"/>
  <c r="BK8" i="22" s="1"/>
  <c r="H77" i="6"/>
  <c r="H10" i="8"/>
  <c r="D17" i="10"/>
  <c r="H67" i="11"/>
  <c r="BJ14" i="22" s="1"/>
  <c r="D57" i="11"/>
  <c r="D83" i="18"/>
  <c r="H93" i="18"/>
  <c r="C157" i="20"/>
  <c r="G157" i="20"/>
  <c r="K157" i="20"/>
  <c r="H50" i="5"/>
  <c r="D70" i="5"/>
  <c r="H126" i="5"/>
  <c r="C140" i="5"/>
  <c r="G140" i="5"/>
  <c r="H19" i="6"/>
  <c r="H47" i="6"/>
  <c r="D59" i="6"/>
  <c r="H62" i="6"/>
  <c r="D77" i="6"/>
  <c r="D47" i="8"/>
  <c r="D50" i="8"/>
  <c r="D53" i="8"/>
  <c r="H56" i="8"/>
  <c r="D63" i="9"/>
  <c r="H13" i="10"/>
  <c r="H21" i="12"/>
  <c r="I68" i="15"/>
  <c r="H50" i="17"/>
  <c r="D59" i="18"/>
  <c r="D47" i="20"/>
  <c r="D79" i="20"/>
  <c r="D99" i="20"/>
  <c r="H105" i="20"/>
  <c r="H109" i="20"/>
  <c r="D93" i="13"/>
  <c r="D96" i="13"/>
  <c r="D100" i="13"/>
  <c r="E33" i="13"/>
  <c r="D65" i="13"/>
  <c r="D71" i="13"/>
  <c r="D37" i="13"/>
  <c r="D35" i="13"/>
  <c r="D68" i="13"/>
  <c r="D74" i="13"/>
  <c r="D77" i="13"/>
  <c r="D81" i="13"/>
  <c r="D84" i="13"/>
  <c r="D88" i="13"/>
  <c r="D91" i="13"/>
  <c r="D104" i="13"/>
  <c r="D86" i="6"/>
  <c r="AY8" i="22" s="1"/>
  <c r="H31" i="6"/>
  <c r="D47" i="6"/>
  <c r="H65" i="6"/>
  <c r="D10" i="8"/>
  <c r="H70" i="5"/>
  <c r="D99" i="5"/>
  <c r="D7" i="6"/>
  <c r="D31" i="6"/>
  <c r="D65" i="6"/>
  <c r="D21" i="5"/>
  <c r="C88" i="6"/>
  <c r="C6" i="10"/>
  <c r="C38" i="10" s="1"/>
  <c r="D7" i="5"/>
  <c r="H13" i="5"/>
  <c r="D27" i="5"/>
  <c r="H30" i="5"/>
  <c r="D44" i="5"/>
  <c r="D73" i="5"/>
  <c r="H76" i="5"/>
  <c r="I140" i="5"/>
  <c r="D84" i="6"/>
  <c r="AU8" i="22" s="1"/>
  <c r="D16" i="6"/>
  <c r="H25" i="6"/>
  <c r="H41" i="6"/>
  <c r="D74" i="6"/>
  <c r="J88" i="6"/>
  <c r="H24" i="8"/>
  <c r="D56" i="8"/>
  <c r="D59" i="8"/>
  <c r="D62" i="8"/>
  <c r="H65" i="8"/>
  <c r="J6" i="9"/>
  <c r="J78" i="9" s="1"/>
  <c r="H26" i="11"/>
  <c r="C68" i="15"/>
  <c r="D79" i="18"/>
  <c r="H101" i="18"/>
  <c r="D13" i="5"/>
  <c r="H16" i="5"/>
  <c r="D30" i="5"/>
  <c r="H36" i="5"/>
  <c r="D76" i="5"/>
  <c r="H79" i="5"/>
  <c r="E140" i="5"/>
  <c r="H22" i="6"/>
  <c r="D25" i="6"/>
  <c r="H28" i="6"/>
  <c r="D34" i="6"/>
  <c r="H38" i="6"/>
  <c r="D41" i="6"/>
  <c r="H44" i="6"/>
  <c r="H71" i="6"/>
  <c r="F88" i="6"/>
  <c r="K88" i="6"/>
  <c r="D24" i="8"/>
  <c r="H71" i="8"/>
  <c r="D26" i="11"/>
  <c r="H29" i="11"/>
  <c r="H45" i="11"/>
  <c r="D54" i="11"/>
  <c r="H57" i="11"/>
  <c r="G70" i="11"/>
  <c r="K70" i="11"/>
  <c r="K68" i="15"/>
  <c r="D10" i="18"/>
  <c r="E6" i="18"/>
  <c r="L21" i="4" s="1"/>
  <c r="H32" i="18"/>
  <c r="D101" i="18"/>
  <c r="D16" i="5"/>
  <c r="D36" i="5"/>
  <c r="H47" i="5"/>
  <c r="D60" i="5"/>
  <c r="H67" i="5"/>
  <c r="D79" i="5"/>
  <c r="H90" i="5"/>
  <c r="H96" i="5"/>
  <c r="D108" i="5"/>
  <c r="D120" i="5"/>
  <c r="K140" i="5"/>
  <c r="F140" i="5"/>
  <c r="J140" i="5"/>
  <c r="H13" i="6"/>
  <c r="D22" i="6"/>
  <c r="D28" i="6"/>
  <c r="D38" i="6"/>
  <c r="D44" i="6"/>
  <c r="H53" i="6"/>
  <c r="D71" i="6"/>
  <c r="G88" i="6"/>
  <c r="D16" i="8"/>
  <c r="D21" i="8"/>
  <c r="D44" i="8"/>
  <c r="H68" i="8"/>
  <c r="G6" i="9"/>
  <c r="G78" i="9" s="1"/>
  <c r="H31" i="9"/>
  <c r="H34" i="10"/>
  <c r="BJ13" i="22" s="1"/>
  <c r="K37" i="10"/>
  <c r="H23" i="11"/>
  <c r="D29" i="11"/>
  <c r="E33" i="12"/>
  <c r="I33" i="12"/>
  <c r="D32" i="18"/>
  <c r="H111" i="18"/>
  <c r="D34" i="10"/>
  <c r="AX13" i="22" s="1"/>
  <c r="H36" i="10"/>
  <c r="BC13" i="22" s="1"/>
  <c r="D35" i="10"/>
  <c r="AY13" i="22" s="1"/>
  <c r="D23" i="10"/>
  <c r="C37" i="10"/>
  <c r="D16" i="11"/>
  <c r="H19" i="11"/>
  <c r="D69" i="11"/>
  <c r="AQ14" i="22" s="1"/>
  <c r="D33" i="11"/>
  <c r="D39" i="11"/>
  <c r="D51" i="11"/>
  <c r="H54" i="11"/>
  <c r="D9" i="12"/>
  <c r="F6" i="15"/>
  <c r="C6" i="15"/>
  <c r="C69" i="15" s="1"/>
  <c r="G68" i="15"/>
  <c r="H102" i="2"/>
  <c r="D63" i="16"/>
  <c r="D14" i="18"/>
  <c r="H41" i="18"/>
  <c r="D67" i="18"/>
  <c r="D89" i="18"/>
  <c r="D65" i="19"/>
  <c r="D73" i="19"/>
  <c r="D11" i="20"/>
  <c r="H33" i="20"/>
  <c r="H36" i="20"/>
  <c r="D39" i="20"/>
  <c r="D51" i="20"/>
  <c r="H55" i="20"/>
  <c r="D63" i="20"/>
  <c r="H67" i="20"/>
  <c r="H71" i="20"/>
  <c r="D86" i="20"/>
  <c r="D91" i="20"/>
  <c r="H10" i="14"/>
  <c r="G39" i="14"/>
  <c r="G32" i="14" s="1"/>
  <c r="G77" i="14"/>
  <c r="G70" i="14" s="1"/>
  <c r="D70" i="14" s="1"/>
  <c r="I102" i="2"/>
  <c r="G6" i="18"/>
  <c r="O21" i="4" s="1"/>
  <c r="H10" i="18"/>
  <c r="D41" i="18"/>
  <c r="H83" i="18"/>
  <c r="E135" i="18"/>
  <c r="G135" i="18"/>
  <c r="D39" i="9"/>
  <c r="H55" i="9"/>
  <c r="H59" i="9"/>
  <c r="D10" i="10"/>
  <c r="D13" i="10"/>
  <c r="H23" i="10"/>
  <c r="G37" i="10"/>
  <c r="C71" i="11"/>
  <c r="D13" i="11"/>
  <c r="H16" i="11"/>
  <c r="H33" i="11"/>
  <c r="H39" i="11"/>
  <c r="H42" i="11"/>
  <c r="D48" i="11"/>
  <c r="H51" i="11"/>
  <c r="E70" i="11"/>
  <c r="H9" i="12"/>
  <c r="F68" i="15"/>
  <c r="J68" i="15"/>
  <c r="E68" i="15"/>
  <c r="G6" i="2"/>
  <c r="O18" i="4" s="1"/>
  <c r="K102" i="2"/>
  <c r="H21" i="18"/>
  <c r="D50" i="18"/>
  <c r="D93" i="18"/>
  <c r="C135" i="18"/>
  <c r="H91" i="20"/>
  <c r="H63" i="21"/>
  <c r="D69" i="19"/>
  <c r="H7" i="14"/>
  <c r="D104" i="14"/>
  <c r="AX17" i="22" s="1"/>
  <c r="G83" i="14"/>
  <c r="G78" i="14" s="1"/>
  <c r="H84" i="14"/>
  <c r="G30" i="14"/>
  <c r="H35" i="13"/>
  <c r="H37" i="13"/>
  <c r="F33" i="13"/>
  <c r="H187" i="13"/>
  <c r="G126" i="13"/>
  <c r="G117" i="13" s="1"/>
  <c r="G152" i="13"/>
  <c r="G145" i="13" s="1"/>
  <c r="H88" i="13"/>
  <c r="H91" i="13"/>
  <c r="H93" i="13"/>
  <c r="AU16" i="22"/>
  <c r="H161" i="13"/>
  <c r="C6" i="9"/>
  <c r="C78" i="9" s="1"/>
  <c r="H39" i="9"/>
  <c r="H47" i="9"/>
  <c r="H63" i="9"/>
  <c r="E77" i="9"/>
  <c r="I77" i="9"/>
  <c r="D47" i="9"/>
  <c r="F6" i="9"/>
  <c r="D55" i="9"/>
  <c r="D59" i="9"/>
  <c r="D77" i="9"/>
  <c r="H77" i="9"/>
  <c r="E131" i="1"/>
  <c r="D212" i="1"/>
  <c r="BA11" i="22" s="1"/>
  <c r="BA27" i="22" s="1"/>
  <c r="D44" i="17"/>
  <c r="H47" i="17"/>
  <c r="D52" i="17"/>
  <c r="H61" i="17"/>
  <c r="H30" i="17"/>
  <c r="H67" i="17"/>
  <c r="H52" i="17"/>
  <c r="D67" i="17"/>
  <c r="D10" i="14"/>
  <c r="H16" i="14"/>
  <c r="D7" i="14"/>
  <c r="G96" i="14"/>
  <c r="G90" i="14" s="1"/>
  <c r="D13" i="14"/>
  <c r="H106" i="14"/>
  <c r="BL17" i="22" s="1"/>
  <c r="BL27" i="22" s="1"/>
  <c r="H100" i="14"/>
  <c r="BE17" i="22" s="1"/>
  <c r="AV17" i="22"/>
  <c r="H48" i="14"/>
  <c r="G55" i="14"/>
  <c r="G48" i="14" s="1"/>
  <c r="H56" i="14"/>
  <c r="H61" i="14"/>
  <c r="D105" i="14"/>
  <c r="AY17" i="22" s="1"/>
  <c r="H67" i="14"/>
  <c r="E90" i="14"/>
  <c r="C108" i="14"/>
  <c r="H104" i="14"/>
  <c r="BJ17" i="22" s="1"/>
  <c r="BG17" i="22"/>
  <c r="D100" i="14"/>
  <c r="AS17" i="22" s="1"/>
  <c r="G66" i="14"/>
  <c r="G61" i="14" s="1"/>
  <c r="D61" i="14" s="1"/>
  <c r="E78" i="14"/>
  <c r="H13" i="14"/>
  <c r="D106" i="14"/>
  <c r="AZ17" i="22" s="1"/>
  <c r="AZ27" i="22" s="1"/>
  <c r="H105" i="14"/>
  <c r="BK17" i="22" s="1"/>
  <c r="H32" i="14"/>
  <c r="H41" i="14"/>
  <c r="H78" i="14"/>
  <c r="H81" i="13"/>
  <c r="E117" i="13"/>
  <c r="H49" i="13"/>
  <c r="H65" i="13"/>
  <c r="H71" i="13"/>
  <c r="H77" i="13"/>
  <c r="F145" i="13"/>
  <c r="H179" i="13"/>
  <c r="H201" i="13"/>
  <c r="I6" i="13"/>
  <c r="I223" i="13" s="1"/>
  <c r="G15" i="13"/>
  <c r="H25" i="13"/>
  <c r="G32" i="13"/>
  <c r="G25" i="13" s="1"/>
  <c r="D25" i="13" s="1"/>
  <c r="H96" i="13"/>
  <c r="H117" i="13"/>
  <c r="H137" i="13"/>
  <c r="I222" i="13"/>
  <c r="F7" i="13"/>
  <c r="H16" i="13"/>
  <c r="H33" i="13"/>
  <c r="H153" i="13"/>
  <c r="H170" i="13"/>
  <c r="H196" i="13"/>
  <c r="H7" i="13"/>
  <c r="G56" i="13"/>
  <c r="G49" i="13" s="1"/>
  <c r="D49" i="13" s="1"/>
  <c r="H84" i="13"/>
  <c r="H104" i="13"/>
  <c r="H107" i="13"/>
  <c r="H127" i="13"/>
  <c r="D196" i="13"/>
  <c r="G209" i="13"/>
  <c r="G201" i="13" s="1"/>
  <c r="H141" i="1"/>
  <c r="G14" i="1"/>
  <c r="G12" i="1" s="1"/>
  <c r="E44" i="1"/>
  <c r="G66" i="1"/>
  <c r="G62" i="1" s="1"/>
  <c r="D62" i="1" s="1"/>
  <c r="G86" i="1"/>
  <c r="G84" i="1" s="1"/>
  <c r="D84" i="1" s="1"/>
  <c r="G74" i="1"/>
  <c r="G71" i="1" s="1"/>
  <c r="G124" i="1"/>
  <c r="G121" i="1" s="1"/>
  <c r="D7" i="9"/>
  <c r="E6" i="9"/>
  <c r="D50" i="5"/>
  <c r="D53" i="5"/>
  <c r="H102" i="5"/>
  <c r="D114" i="5"/>
  <c r="D126" i="5"/>
  <c r="D140" i="5"/>
  <c r="BE7" i="22"/>
  <c r="BB7" i="22" s="1"/>
  <c r="BN7" i="22" s="1"/>
  <c r="D85" i="6"/>
  <c r="AX8" i="22" s="1"/>
  <c r="H50" i="6"/>
  <c r="H87" i="6"/>
  <c r="BC8" i="22" s="1"/>
  <c r="H68" i="6"/>
  <c r="I88" i="6"/>
  <c r="D6" i="7"/>
  <c r="H7" i="7"/>
  <c r="O9" i="4"/>
  <c r="D10" i="11"/>
  <c r="H13" i="11"/>
  <c r="Q8" i="4"/>
  <c r="P8" i="4" s="1"/>
  <c r="H44" i="5"/>
  <c r="H60" i="5"/>
  <c r="D102" i="5"/>
  <c r="H108" i="5"/>
  <c r="H120" i="5"/>
  <c r="H85" i="6"/>
  <c r="BJ8" i="22" s="1"/>
  <c r="H34" i="6"/>
  <c r="D50" i="6"/>
  <c r="D68" i="6"/>
  <c r="E88" i="6"/>
  <c r="D7" i="7"/>
  <c r="H47" i="8"/>
  <c r="K6" i="9"/>
  <c r="H7" i="9"/>
  <c r="I6" i="9"/>
  <c r="D87" i="6"/>
  <c r="AQ8" i="22" s="1"/>
  <c r="D96" i="8"/>
  <c r="H96" i="8"/>
  <c r="D20" i="10"/>
  <c r="C70" i="11"/>
  <c r="C97" i="8"/>
  <c r="I97" i="8"/>
  <c r="D13" i="8"/>
  <c r="D27" i="8"/>
  <c r="D30" i="8"/>
  <c r="H33" i="8"/>
  <c r="D65" i="8"/>
  <c r="D71" i="8"/>
  <c r="E96" i="8"/>
  <c r="I96" i="8"/>
  <c r="H30" i="1"/>
  <c r="H138" i="1"/>
  <c r="D141" i="1"/>
  <c r="H7" i="10"/>
  <c r="J6" i="10"/>
  <c r="I37" i="10"/>
  <c r="H7" i="11"/>
  <c r="I70" i="11"/>
  <c r="C6" i="13"/>
  <c r="C223" i="13" s="1"/>
  <c r="G48" i="13"/>
  <c r="G41" i="13" s="1"/>
  <c r="F41" i="13"/>
  <c r="G64" i="13"/>
  <c r="G57" i="13" s="1"/>
  <c r="F57" i="13"/>
  <c r="H74" i="13"/>
  <c r="G116" i="13"/>
  <c r="G107" i="13" s="1"/>
  <c r="E107" i="13"/>
  <c r="F161" i="13"/>
  <c r="G169" i="13"/>
  <c r="D169" i="13" s="1"/>
  <c r="E63" i="21"/>
  <c r="I63" i="21"/>
  <c r="L9" i="4"/>
  <c r="H27" i="8"/>
  <c r="D33" i="8"/>
  <c r="H38" i="8"/>
  <c r="H41" i="8"/>
  <c r="H77" i="8"/>
  <c r="F96" i="8"/>
  <c r="J96" i="8"/>
  <c r="H19" i="1"/>
  <c r="G103" i="1"/>
  <c r="G100" i="1" s="1"/>
  <c r="H199" i="1"/>
  <c r="D7" i="10"/>
  <c r="F6" i="10"/>
  <c r="E37" i="10"/>
  <c r="D19" i="11"/>
  <c r="D42" i="11"/>
  <c r="F70" i="11"/>
  <c r="J70" i="11"/>
  <c r="H57" i="13"/>
  <c r="H68" i="13"/>
  <c r="H100" i="13"/>
  <c r="G144" i="13"/>
  <c r="G137" i="13" s="1"/>
  <c r="D137" i="13" s="1"/>
  <c r="G160" i="13"/>
  <c r="G153" i="13" s="1"/>
  <c r="F153" i="13"/>
  <c r="G186" i="13"/>
  <c r="G179" i="13" s="1"/>
  <c r="D179" i="13" s="1"/>
  <c r="G195" i="13"/>
  <c r="G187" i="13" s="1"/>
  <c r="E187" i="13"/>
  <c r="F97" i="8"/>
  <c r="H16" i="8"/>
  <c r="H21" i="8"/>
  <c r="D38" i="8"/>
  <c r="D41" i="8"/>
  <c r="H44" i="8"/>
  <c r="H50" i="8"/>
  <c r="H53" i="8"/>
  <c r="H59" i="8"/>
  <c r="H62" i="8"/>
  <c r="D77" i="8"/>
  <c r="C96" i="8"/>
  <c r="G96" i="8"/>
  <c r="K96" i="8"/>
  <c r="G18" i="1"/>
  <c r="G15" i="1" s="1"/>
  <c r="F20" i="1"/>
  <c r="G37" i="1"/>
  <c r="G33" i="1" s="1"/>
  <c r="H150" i="1"/>
  <c r="G161" i="1"/>
  <c r="D161" i="1" s="1"/>
  <c r="G167" i="1"/>
  <c r="G195" i="1"/>
  <c r="D195" i="1" s="1"/>
  <c r="D199" i="1"/>
  <c r="D36" i="10"/>
  <c r="AQ13" i="22" s="1"/>
  <c r="H20" i="10"/>
  <c r="H10" i="11"/>
  <c r="G24" i="13"/>
  <c r="G16" i="13" s="1"/>
  <c r="F16" i="13"/>
  <c r="G136" i="13"/>
  <c r="G127" i="13" s="1"/>
  <c r="E127" i="13"/>
  <c r="G178" i="13"/>
  <c r="D178" i="13" s="1"/>
  <c r="E170" i="13"/>
  <c r="G47" i="14"/>
  <c r="D47" i="14" s="1"/>
  <c r="E41" i="14"/>
  <c r="F6" i="12"/>
  <c r="D17" i="12"/>
  <c r="D33" i="12"/>
  <c r="AT16" i="22"/>
  <c r="F201" i="13"/>
  <c r="C222" i="13"/>
  <c r="H7" i="12"/>
  <c r="H11" i="12"/>
  <c r="H14" i="12"/>
  <c r="D21" i="12"/>
  <c r="F33" i="12"/>
  <c r="J33" i="12"/>
  <c r="AV16" i="22"/>
  <c r="K222" i="13"/>
  <c r="E6" i="12"/>
  <c r="E34" i="12" s="1"/>
  <c r="D11" i="12"/>
  <c r="D14" i="12"/>
  <c r="H17" i="12"/>
  <c r="C33" i="12"/>
  <c r="G33" i="12"/>
  <c r="K33" i="12"/>
  <c r="E16" i="14"/>
  <c r="G22" i="14"/>
  <c r="E84" i="14"/>
  <c r="G89" i="14"/>
  <c r="G84" i="14" s="1"/>
  <c r="H23" i="14"/>
  <c r="E48" i="14"/>
  <c r="H70" i="14"/>
  <c r="G6" i="15"/>
  <c r="J108" i="14"/>
  <c r="K108" i="14"/>
  <c r="J6" i="15"/>
  <c r="D67" i="14"/>
  <c r="H90" i="14"/>
  <c r="F6" i="2"/>
  <c r="M18" i="4" s="1"/>
  <c r="D46" i="16"/>
  <c r="H69" i="16"/>
  <c r="C6" i="17"/>
  <c r="C94" i="17" s="1"/>
  <c r="E6" i="15"/>
  <c r="I6" i="15"/>
  <c r="D68" i="15"/>
  <c r="H68" i="15"/>
  <c r="H6" i="21"/>
  <c r="I64" i="21"/>
  <c r="I108" i="14"/>
  <c r="H63" i="16"/>
  <c r="C6" i="18"/>
  <c r="C136" i="18" s="1"/>
  <c r="H7" i="18"/>
  <c r="D93" i="16"/>
  <c r="H93" i="16"/>
  <c r="G35" i="17"/>
  <c r="G33" i="17" s="1"/>
  <c r="F6" i="18"/>
  <c r="M21" i="4" s="1"/>
  <c r="F135" i="18"/>
  <c r="G6" i="20"/>
  <c r="O23" i="4" s="1"/>
  <c r="D63" i="21"/>
  <c r="D40" i="16"/>
  <c r="H51" i="16"/>
  <c r="D20" i="17"/>
  <c r="H24" i="17"/>
  <c r="H41" i="17"/>
  <c r="D7" i="18"/>
  <c r="D17" i="18"/>
  <c r="H17" i="18"/>
  <c r="D21" i="18"/>
  <c r="H71" i="18"/>
  <c r="H117" i="18"/>
  <c r="J6" i="20"/>
  <c r="J158" i="20" s="1"/>
  <c r="H23" i="20"/>
  <c r="D43" i="20"/>
  <c r="D75" i="20"/>
  <c r="D83" i="20"/>
  <c r="D134" i="20"/>
  <c r="E157" i="20"/>
  <c r="I157" i="20"/>
  <c r="D6" i="21"/>
  <c r="E64" i="21"/>
  <c r="D24" i="17"/>
  <c r="D27" i="17"/>
  <c r="G40" i="17"/>
  <c r="G36" i="17" s="1"/>
  <c r="E36" i="17"/>
  <c r="H55" i="17"/>
  <c r="H58" i="17"/>
  <c r="D73" i="17"/>
  <c r="H79" i="17"/>
  <c r="H14" i="18"/>
  <c r="H67" i="18"/>
  <c r="D71" i="18"/>
  <c r="H89" i="18"/>
  <c r="D117" i="18"/>
  <c r="C63" i="21"/>
  <c r="C65" i="21" s="1"/>
  <c r="G63" i="21"/>
  <c r="K63" i="21"/>
  <c r="K65" i="21" s="1"/>
  <c r="H20" i="17"/>
  <c r="H27" i="17"/>
  <c r="H36" i="17"/>
  <c r="H44" i="17"/>
  <c r="D61" i="17"/>
  <c r="I6" i="20"/>
  <c r="I158" i="20" s="1"/>
  <c r="D33" i="20"/>
  <c r="D36" i="20"/>
  <c r="H43" i="20"/>
  <c r="D67" i="20"/>
  <c r="H75" i="20"/>
  <c r="D113" i="20"/>
  <c r="H134" i="20"/>
  <c r="D157" i="20"/>
  <c r="H157" i="20"/>
  <c r="F63" i="21"/>
  <c r="J63" i="21"/>
  <c r="J65" i="21" s="1"/>
  <c r="J6" i="17"/>
  <c r="J94" i="17" s="1"/>
  <c r="H13" i="17"/>
  <c r="E93" i="17"/>
  <c r="D30" i="17"/>
  <c r="H33" i="17"/>
  <c r="H90" i="17"/>
  <c r="BJ21" i="22" s="1"/>
  <c r="G43" i="17"/>
  <c r="G41" i="17" s="1"/>
  <c r="D47" i="17"/>
  <c r="D50" i="17"/>
  <c r="D55" i="17"/>
  <c r="D58" i="17"/>
  <c r="K6" i="20"/>
  <c r="K158" i="20" s="1"/>
  <c r="D23" i="20"/>
  <c r="H51" i="20"/>
  <c r="H59" i="20"/>
  <c r="H63" i="20"/>
  <c r="H95" i="20"/>
  <c r="H40" i="1"/>
  <c r="H49" i="1"/>
  <c r="H52" i="1"/>
  <c r="H62" i="1"/>
  <c r="E71" i="1"/>
  <c r="H87" i="1"/>
  <c r="F100" i="1"/>
  <c r="G120" i="1"/>
  <c r="G118" i="1" s="1"/>
  <c r="D150" i="1"/>
  <c r="H33" i="1"/>
  <c r="G61" i="1"/>
  <c r="D61" i="1" s="1"/>
  <c r="H75" i="1"/>
  <c r="H91" i="1"/>
  <c r="D98" i="1"/>
  <c r="G158" i="1"/>
  <c r="H168" i="1"/>
  <c r="H180" i="1"/>
  <c r="H183" i="1"/>
  <c r="E192" i="1"/>
  <c r="H192" i="1"/>
  <c r="D208" i="1"/>
  <c r="AV11" i="22" s="1"/>
  <c r="H12" i="1"/>
  <c r="H15" i="1"/>
  <c r="G48" i="1"/>
  <c r="D48" i="1" s="1"/>
  <c r="H67" i="1"/>
  <c r="H79" i="1"/>
  <c r="H118" i="1"/>
  <c r="G164" i="1"/>
  <c r="D164" i="1" s="1"/>
  <c r="H172" i="1"/>
  <c r="D180" i="1"/>
  <c r="H100" i="1"/>
  <c r="D111" i="1"/>
  <c r="H115" i="1"/>
  <c r="D125" i="1"/>
  <c r="D127" i="1"/>
  <c r="D132" i="1"/>
  <c r="H162" i="1"/>
  <c r="H208" i="1"/>
  <c r="BH11" i="22" s="1"/>
  <c r="G83" i="1"/>
  <c r="G79" i="1" s="1"/>
  <c r="D79" i="1" s="1"/>
  <c r="H84" i="1"/>
  <c r="F121" i="1"/>
  <c r="D148" i="1"/>
  <c r="E155" i="1"/>
  <c r="E162" i="1"/>
  <c r="D183" i="1"/>
  <c r="H196" i="1"/>
  <c r="H104" i="1"/>
  <c r="D108" i="1"/>
  <c r="H111" i="1"/>
  <c r="H121" i="1"/>
  <c r="H125" i="1"/>
  <c r="H135" i="1"/>
  <c r="H144" i="1"/>
  <c r="H177" i="1"/>
  <c r="H189" i="1"/>
  <c r="D196" i="1"/>
  <c r="D30" i="1"/>
  <c r="D38" i="1"/>
  <c r="D49" i="1"/>
  <c r="D52" i="1"/>
  <c r="E12" i="1"/>
  <c r="H22" i="1"/>
  <c r="E15" i="1"/>
  <c r="H27" i="1"/>
  <c r="H38" i="1"/>
  <c r="K215" i="1"/>
  <c r="H56" i="1"/>
  <c r="J215" i="1"/>
  <c r="I215" i="1"/>
  <c r="H7" i="1"/>
  <c r="G43" i="1"/>
  <c r="G40" i="1" s="1"/>
  <c r="D40" i="1" s="1"/>
  <c r="H44" i="1"/>
  <c r="G26" i="1"/>
  <c r="G22" i="1" s="1"/>
  <c r="E22" i="1"/>
  <c r="G11" i="1"/>
  <c r="F7" i="1"/>
  <c r="G21" i="1"/>
  <c r="D21" i="1" s="1"/>
  <c r="H207" i="1"/>
  <c r="BG11" i="22" s="1"/>
  <c r="H209" i="1"/>
  <c r="BJ11" i="22" s="1"/>
  <c r="C19" i="1"/>
  <c r="E33" i="1"/>
  <c r="H210" i="1"/>
  <c r="BK11" i="22" s="1"/>
  <c r="G58" i="1"/>
  <c r="G56" i="1" s="1"/>
  <c r="H71" i="1"/>
  <c r="G90" i="1"/>
  <c r="G87" i="1" s="1"/>
  <c r="E87" i="1"/>
  <c r="H108" i="1"/>
  <c r="H130" i="1"/>
  <c r="H155" i="1"/>
  <c r="G188" i="1"/>
  <c r="G185" i="1" s="1"/>
  <c r="E185" i="1"/>
  <c r="D189" i="1"/>
  <c r="H212" i="1"/>
  <c r="BM11" i="22" s="1"/>
  <c r="BM27" i="22" s="1"/>
  <c r="H59" i="1"/>
  <c r="G70" i="1"/>
  <c r="G67" i="1" s="1"/>
  <c r="E67" i="1"/>
  <c r="H98" i="1"/>
  <c r="H127" i="1"/>
  <c r="D135" i="1"/>
  <c r="H148" i="1"/>
  <c r="G171" i="1"/>
  <c r="G168" i="1" s="1"/>
  <c r="G173" i="1"/>
  <c r="G176" i="1"/>
  <c r="D176" i="1" s="1"/>
  <c r="D177" i="1"/>
  <c r="D207" i="1"/>
  <c r="AU11" i="22" s="1"/>
  <c r="D210" i="1"/>
  <c r="AY11" i="22" s="1"/>
  <c r="G78" i="1"/>
  <c r="G75" i="1" s="1"/>
  <c r="E75" i="1"/>
  <c r="G93" i="1"/>
  <c r="G96" i="1"/>
  <c r="D96" i="1" s="1"/>
  <c r="D115" i="1"/>
  <c r="D138" i="1"/>
  <c r="F168" i="1"/>
  <c r="F172" i="1"/>
  <c r="G107" i="1"/>
  <c r="G104" i="1" s="1"/>
  <c r="D104" i="1" s="1"/>
  <c r="E118" i="1"/>
  <c r="F131" i="1"/>
  <c r="G147" i="1"/>
  <c r="G144" i="1" s="1"/>
  <c r="D144" i="1" s="1"/>
  <c r="G34" i="12"/>
  <c r="D7" i="12"/>
  <c r="H33" i="12"/>
  <c r="H15" i="20"/>
  <c r="H27" i="20"/>
  <c r="H30" i="20"/>
  <c r="D55" i="20"/>
  <c r="D95" i="20"/>
  <c r="D105" i="20"/>
  <c r="D109" i="20"/>
  <c r="D130" i="20"/>
  <c r="H138" i="20"/>
  <c r="H11" i="20"/>
  <c r="D15" i="20"/>
  <c r="D27" i="20"/>
  <c r="D30" i="20"/>
  <c r="H39" i="20"/>
  <c r="H47" i="20"/>
  <c r="D138" i="20"/>
  <c r="F157" i="20"/>
  <c r="J157" i="20"/>
  <c r="H79" i="20"/>
  <c r="H83" i="20"/>
  <c r="H86" i="20"/>
  <c r="H99" i="20"/>
  <c r="H113" i="20"/>
  <c r="D59" i="20"/>
  <c r="D71" i="20"/>
  <c r="H130" i="20"/>
  <c r="D125" i="20"/>
  <c r="C6" i="20" s="1"/>
  <c r="D7" i="20"/>
  <c r="H7" i="20"/>
  <c r="D525" i="3"/>
  <c r="D547" i="3"/>
  <c r="H559" i="3"/>
  <c r="H442" i="3"/>
  <c r="D477" i="3"/>
  <c r="D480" i="3"/>
  <c r="D463" i="3"/>
  <c r="H477" i="3"/>
  <c r="H480" i="3"/>
  <c r="H528" i="3"/>
  <c r="D442" i="3"/>
  <c r="H456" i="3"/>
  <c r="D502" i="3"/>
  <c r="D544" i="3"/>
  <c r="D435" i="3"/>
  <c r="H445" i="3"/>
  <c r="D456" i="3"/>
  <c r="H562" i="3"/>
  <c r="C581" i="3"/>
  <c r="H451" i="3"/>
  <c r="H468" i="3"/>
  <c r="H547" i="3"/>
  <c r="D562" i="3"/>
  <c r="H435" i="3"/>
  <c r="H463" i="3"/>
  <c r="H502" i="3"/>
  <c r="H525" i="3"/>
  <c r="D535" i="3"/>
  <c r="H544" i="3"/>
  <c r="D552" i="3"/>
  <c r="D451" i="3"/>
  <c r="D468" i="3"/>
  <c r="H474" i="3"/>
  <c r="H483" i="3"/>
  <c r="D528" i="3"/>
  <c r="D559" i="3"/>
  <c r="D445" i="3"/>
  <c r="D474" i="3"/>
  <c r="D483" i="3"/>
  <c r="H535" i="3"/>
  <c r="H552" i="3"/>
  <c r="D432" i="3"/>
  <c r="H432" i="3"/>
  <c r="P24" i="4"/>
  <c r="H76" i="19"/>
  <c r="I139" i="19"/>
  <c r="D10" i="19"/>
  <c r="H19" i="19"/>
  <c r="H31" i="19"/>
  <c r="H34" i="19"/>
  <c r="H7" i="19"/>
  <c r="D19" i="19"/>
  <c r="J139" i="19"/>
  <c r="D42" i="19"/>
  <c r="D76" i="19"/>
  <c r="H10" i="19"/>
  <c r="D45" i="19"/>
  <c r="D28" i="19"/>
  <c r="H45" i="19"/>
  <c r="D57" i="19"/>
  <c r="H139" i="19"/>
  <c r="H13" i="19"/>
  <c r="H22" i="19"/>
  <c r="H25" i="19"/>
  <c r="D31" i="19"/>
  <c r="D34" i="19"/>
  <c r="H83" i="19"/>
  <c r="D13" i="19"/>
  <c r="D22" i="19"/>
  <c r="D25" i="19"/>
  <c r="H28" i="19"/>
  <c r="H42" i="19"/>
  <c r="H57" i="19"/>
  <c r="D83" i="19"/>
  <c r="K139" i="19"/>
  <c r="D16" i="19"/>
  <c r="H16" i="19"/>
  <c r="J93" i="17"/>
  <c r="D7" i="17"/>
  <c r="I6" i="17"/>
  <c r="K6" i="17"/>
  <c r="H7" i="17"/>
  <c r="H10" i="17"/>
  <c r="G18" i="17"/>
  <c r="D79" i="17"/>
  <c r="C93" i="17"/>
  <c r="K93" i="17"/>
  <c r="I93" i="17"/>
  <c r="D66" i="16"/>
  <c r="D75" i="16"/>
  <c r="H16" i="16"/>
  <c r="H46" i="16"/>
  <c r="H54" i="16"/>
  <c r="H61" i="16"/>
  <c r="H75" i="16"/>
  <c r="H81" i="16"/>
  <c r="D16" i="16"/>
  <c r="D54" i="16"/>
  <c r="D81" i="16"/>
  <c r="H40" i="16"/>
  <c r="D43" i="16"/>
  <c r="C93" i="16"/>
  <c r="G93" i="16"/>
  <c r="K93" i="16"/>
  <c r="H43" i="16"/>
  <c r="D49" i="16"/>
  <c r="D57" i="16"/>
  <c r="D72" i="16"/>
  <c r="F93" i="16"/>
  <c r="J93" i="16"/>
  <c r="D51" i="16"/>
  <c r="H59" i="16"/>
  <c r="H66" i="16"/>
  <c r="H49" i="16"/>
  <c r="H57" i="16"/>
  <c r="D59" i="16"/>
  <c r="D61" i="16"/>
  <c r="H72" i="16"/>
  <c r="E93" i="16"/>
  <c r="I93" i="16"/>
  <c r="D7" i="8"/>
  <c r="H7" i="8"/>
  <c r="G65" i="21" l="1"/>
  <c r="BB13" i="22"/>
  <c r="BN13" i="22" s="1"/>
  <c r="G91" i="1"/>
  <c r="F141" i="5"/>
  <c r="F142" i="5" s="1"/>
  <c r="K70" i="15"/>
  <c r="F6" i="14"/>
  <c r="F109" i="14" s="1"/>
  <c r="F110" i="14" s="1"/>
  <c r="E6" i="17"/>
  <c r="G214" i="1"/>
  <c r="Q9" i="4"/>
  <c r="P9" i="4" s="1"/>
  <c r="R6" i="4"/>
  <c r="G7" i="13"/>
  <c r="D7" i="13" s="1"/>
  <c r="G221" i="13"/>
  <c r="C142" i="5"/>
  <c r="O6" i="4"/>
  <c r="K159" i="20"/>
  <c r="S6" i="4"/>
  <c r="K142" i="5"/>
  <c r="E142" i="5"/>
  <c r="I142" i="5"/>
  <c r="J142" i="5"/>
  <c r="G142" i="5"/>
  <c r="AU27" i="22"/>
  <c r="H6" i="15"/>
  <c r="H69" i="15" s="1"/>
  <c r="H70" i="15" s="1"/>
  <c r="BD27" i="22"/>
  <c r="G13" i="17"/>
  <c r="G92" i="17"/>
  <c r="G93" i="17" s="1"/>
  <c r="G23" i="14"/>
  <c r="D23" i="14" s="1"/>
  <c r="G107" i="14"/>
  <c r="BJ27" i="22"/>
  <c r="BC27" i="22"/>
  <c r="F65" i="21"/>
  <c r="G79" i="9"/>
  <c r="G97" i="8"/>
  <c r="G98" i="8" s="1"/>
  <c r="S17" i="4"/>
  <c r="AP13" i="22"/>
  <c r="J79" i="9"/>
  <c r="O11" i="4"/>
  <c r="BB21" i="22"/>
  <c r="BN21" i="22" s="1"/>
  <c r="BH27" i="22"/>
  <c r="BB17" i="22"/>
  <c r="BN17" i="22" s="1"/>
  <c r="AS27" i="22"/>
  <c r="AP14" i="22"/>
  <c r="BB11" i="22"/>
  <c r="BN11" i="22" s="1"/>
  <c r="AV27" i="22"/>
  <c r="BF27" i="22"/>
  <c r="AR27" i="22"/>
  <c r="BB14" i="22"/>
  <c r="BN14" i="22" s="1"/>
  <c r="AY27" i="22"/>
  <c r="BK27" i="22"/>
  <c r="BG27" i="22"/>
  <c r="AP8" i="22"/>
  <c r="BB8" i="22"/>
  <c r="BN8" i="22" s="1"/>
  <c r="E6" i="14"/>
  <c r="AT27" i="22"/>
  <c r="K35" i="12"/>
  <c r="H6" i="12"/>
  <c r="S14" i="4"/>
  <c r="D6" i="6"/>
  <c r="D89" i="6" s="1"/>
  <c r="G94" i="16"/>
  <c r="G95" i="16" s="1"/>
  <c r="E94" i="16"/>
  <c r="E95" i="16" s="1"/>
  <c r="H64" i="21"/>
  <c r="H65" i="21" s="1"/>
  <c r="K24" i="4"/>
  <c r="N24" i="4" s="1"/>
  <c r="D6" i="18"/>
  <c r="H6" i="14"/>
  <c r="H109" i="14" s="1"/>
  <c r="C35" i="12"/>
  <c r="E35" i="12"/>
  <c r="G35" i="12"/>
  <c r="H6" i="1"/>
  <c r="H216" i="1" s="1"/>
  <c r="D96" i="14"/>
  <c r="D39" i="14"/>
  <c r="I159" i="20"/>
  <c r="D32" i="14"/>
  <c r="I94" i="16"/>
  <c r="I95" i="16" s="1"/>
  <c r="K97" i="8"/>
  <c r="K98" i="8" s="1"/>
  <c r="C98" i="8"/>
  <c r="S23" i="4"/>
  <c r="K38" i="10"/>
  <c r="K39" i="10" s="1"/>
  <c r="S12" i="4"/>
  <c r="D6" i="8"/>
  <c r="D97" i="8" s="1"/>
  <c r="D98" i="8" s="1"/>
  <c r="D55" i="14"/>
  <c r="D48" i="14"/>
  <c r="D30" i="14"/>
  <c r="D117" i="13"/>
  <c r="L14" i="4"/>
  <c r="R19" i="4"/>
  <c r="R11" i="4"/>
  <c r="D107" i="13"/>
  <c r="D57" i="13"/>
  <c r="Q15" i="4"/>
  <c r="D78" i="14"/>
  <c r="J159" i="20"/>
  <c r="D90" i="14"/>
  <c r="D6" i="12"/>
  <c r="D34" i="12" s="1"/>
  <c r="D35" i="12" s="1"/>
  <c r="J97" i="8"/>
  <c r="J98" i="8" s="1"/>
  <c r="G192" i="1"/>
  <c r="D192" i="1" s="1"/>
  <c r="C70" i="15"/>
  <c r="C90" i="6"/>
  <c r="D37" i="10"/>
  <c r="G38" i="10"/>
  <c r="G39" i="10" s="1"/>
  <c r="O12" i="4"/>
  <c r="H6" i="8"/>
  <c r="H97" i="8" s="1"/>
  <c r="H98" i="8" s="1"/>
  <c r="D100" i="1"/>
  <c r="D103" i="1"/>
  <c r="D127" i="13"/>
  <c r="C39" i="10"/>
  <c r="F34" i="12"/>
  <c r="F35" i="12" s="1"/>
  <c r="C137" i="18"/>
  <c r="E136" i="18"/>
  <c r="E137" i="18" s="1"/>
  <c r="I103" i="2"/>
  <c r="I104" i="2" s="1"/>
  <c r="H37" i="10"/>
  <c r="D70" i="11"/>
  <c r="C79" i="9"/>
  <c r="D41" i="13"/>
  <c r="D201" i="13"/>
  <c r="F71" i="11"/>
  <c r="F72" i="11" s="1"/>
  <c r="M13" i="4"/>
  <c r="M9" i="4"/>
  <c r="E97" i="8"/>
  <c r="E98" i="8" s="1"/>
  <c r="C95" i="16"/>
  <c r="M14" i="4"/>
  <c r="D145" i="13"/>
  <c r="H6" i="20"/>
  <c r="I65" i="21"/>
  <c r="D88" i="6"/>
  <c r="H70" i="11"/>
  <c r="F69" i="15"/>
  <c r="F70" i="15" s="1"/>
  <c r="M17" i="4"/>
  <c r="E89" i="6"/>
  <c r="E90" i="6" s="1"/>
  <c r="L7" i="4"/>
  <c r="I98" i="8"/>
  <c r="D77" i="14"/>
  <c r="C72" i="11"/>
  <c r="G103" i="2"/>
  <c r="G104" i="2" s="1"/>
  <c r="G136" i="18"/>
  <c r="G137" i="18" s="1"/>
  <c r="I140" i="19"/>
  <c r="I141" i="19" s="1"/>
  <c r="D35" i="17"/>
  <c r="D83" i="14"/>
  <c r="G41" i="14"/>
  <c r="D41" i="14" s="1"/>
  <c r="C110" i="14"/>
  <c r="C224" i="13"/>
  <c r="D136" i="13"/>
  <c r="D126" i="13"/>
  <c r="D152" i="13"/>
  <c r="D32" i="13"/>
  <c r="I224" i="13"/>
  <c r="F78" i="9"/>
  <c r="F79" i="9" s="1"/>
  <c r="M11" i="4"/>
  <c r="D14" i="1"/>
  <c r="D124" i="1"/>
  <c r="D71" i="1"/>
  <c r="D118" i="1"/>
  <c r="D120" i="1"/>
  <c r="E130" i="1"/>
  <c r="D12" i="1"/>
  <c r="G59" i="1"/>
  <c r="D59" i="1" s="1"/>
  <c r="D18" i="1"/>
  <c r="D15" i="1"/>
  <c r="D86" i="1"/>
  <c r="D121" i="1"/>
  <c r="D74" i="1"/>
  <c r="G155" i="1"/>
  <c r="D155" i="1" s="1"/>
  <c r="J95" i="17"/>
  <c r="R20" i="4"/>
  <c r="J109" i="14"/>
  <c r="J110" i="14" s="1"/>
  <c r="R16" i="4"/>
  <c r="D84" i="14"/>
  <c r="D66" i="14"/>
  <c r="E222" i="13"/>
  <c r="D16" i="13"/>
  <c r="D48" i="13"/>
  <c r="D56" i="13"/>
  <c r="D187" i="13"/>
  <c r="D153" i="13"/>
  <c r="D15" i="13"/>
  <c r="D64" i="13"/>
  <c r="D209" i="13"/>
  <c r="E6" i="13"/>
  <c r="E223" i="13" s="1"/>
  <c r="D160" i="13"/>
  <c r="D116" i="13"/>
  <c r="D168" i="1"/>
  <c r="D66" i="1"/>
  <c r="D33" i="1"/>
  <c r="D37" i="1"/>
  <c r="D167" i="1"/>
  <c r="D171" i="1"/>
  <c r="D75" i="1"/>
  <c r="D67" i="1"/>
  <c r="G20" i="1"/>
  <c r="G19" i="1" s="1"/>
  <c r="F19" i="1"/>
  <c r="K71" i="11"/>
  <c r="K72" i="11" s="1"/>
  <c r="S13" i="4"/>
  <c r="D36" i="17"/>
  <c r="D64" i="21"/>
  <c r="D65" i="21" s="1"/>
  <c r="E6" i="20"/>
  <c r="L23" i="4" s="1"/>
  <c r="J136" i="18"/>
  <c r="J137" i="18" s="1"/>
  <c r="R21" i="4"/>
  <c r="H6" i="18"/>
  <c r="J103" i="2"/>
  <c r="J104" i="2" s="1"/>
  <c r="R18" i="4"/>
  <c r="G69" i="15"/>
  <c r="G70" i="15" s="1"/>
  <c r="O17" i="4"/>
  <c r="I109" i="14"/>
  <c r="I110" i="14" s="1"/>
  <c r="Q16" i="4"/>
  <c r="G170" i="13"/>
  <c r="D170" i="13" s="1"/>
  <c r="K223" i="13"/>
  <c r="K224" i="13" s="1"/>
  <c r="S15" i="4"/>
  <c r="H108" i="14"/>
  <c r="E38" i="10"/>
  <c r="E39" i="10" s="1"/>
  <c r="L12" i="4"/>
  <c r="D6" i="10"/>
  <c r="D38" i="10" s="1"/>
  <c r="F89" i="6"/>
  <c r="F90" i="6" s="1"/>
  <c r="M7" i="4"/>
  <c r="D41" i="17"/>
  <c r="D43" i="17"/>
  <c r="D6" i="15"/>
  <c r="D69" i="15" s="1"/>
  <c r="D70" i="15" s="1"/>
  <c r="E69" i="15"/>
  <c r="E70" i="15" s="1"/>
  <c r="L17" i="4"/>
  <c r="K103" i="2"/>
  <c r="K104" i="2" s="1"/>
  <c r="S18" i="4"/>
  <c r="G16" i="14"/>
  <c r="I38" i="10"/>
  <c r="I39" i="10" s="1"/>
  <c r="H6" i="10"/>
  <c r="H38" i="10" s="1"/>
  <c r="Q12" i="4"/>
  <c r="D6" i="11"/>
  <c r="D71" i="11" s="1"/>
  <c r="E71" i="11"/>
  <c r="E72" i="11" s="1"/>
  <c r="L13" i="4"/>
  <c r="K95" i="16"/>
  <c r="C95" i="17"/>
  <c r="F6" i="20"/>
  <c r="M23" i="4" s="1"/>
  <c r="D40" i="17"/>
  <c r="F136" i="18"/>
  <c r="F137" i="18" s="1"/>
  <c r="I69" i="15"/>
  <c r="I70" i="15" s="1"/>
  <c r="Q17" i="4"/>
  <c r="D22" i="14"/>
  <c r="F6" i="13"/>
  <c r="D144" i="13"/>
  <c r="G33" i="13"/>
  <c r="D33" i="13" s="1"/>
  <c r="H6" i="11"/>
  <c r="H71" i="11" s="1"/>
  <c r="I71" i="11"/>
  <c r="I72" i="11" s="1"/>
  <c r="Q13" i="4"/>
  <c r="H6" i="6"/>
  <c r="H89" i="6" s="1"/>
  <c r="I89" i="6"/>
  <c r="I90" i="6" s="1"/>
  <c r="Q7" i="4"/>
  <c r="K78" i="9"/>
  <c r="K79" i="9" s="1"/>
  <c r="S11" i="4"/>
  <c r="J89" i="6"/>
  <c r="J90" i="6" s="1"/>
  <c r="R7" i="4"/>
  <c r="G71" i="11"/>
  <c r="G72" i="11" s="1"/>
  <c r="O13" i="4"/>
  <c r="F103" i="2"/>
  <c r="F104" i="2" s="1"/>
  <c r="F38" i="10"/>
  <c r="F39" i="10" s="1"/>
  <c r="M12" i="4"/>
  <c r="H6" i="2"/>
  <c r="H103" i="2" s="1"/>
  <c r="H104" i="2" s="1"/>
  <c r="G89" i="6"/>
  <c r="G90" i="6" s="1"/>
  <c r="O7" i="4"/>
  <c r="H140" i="5"/>
  <c r="H6" i="5"/>
  <c r="H141" i="5" s="1"/>
  <c r="Q6" i="4"/>
  <c r="F98" i="8"/>
  <c r="H93" i="17"/>
  <c r="Q23" i="4"/>
  <c r="D33" i="17"/>
  <c r="I136" i="18"/>
  <c r="I137" i="18" s="1"/>
  <c r="Q21" i="4"/>
  <c r="J69" i="15"/>
  <c r="J70" i="15" s="1"/>
  <c r="R17" i="4"/>
  <c r="D89" i="14"/>
  <c r="K109" i="14"/>
  <c r="K110" i="14" s="1"/>
  <c r="S16" i="4"/>
  <c r="D24" i="13"/>
  <c r="M16" i="4"/>
  <c r="D195" i="13"/>
  <c r="D186" i="13"/>
  <c r="E65" i="21"/>
  <c r="G161" i="13"/>
  <c r="D161" i="13" s="1"/>
  <c r="J38" i="10"/>
  <c r="J39" i="10" s="1"/>
  <c r="R12" i="4"/>
  <c r="I78" i="9"/>
  <c r="I79" i="9" s="1"/>
  <c r="H6" i="9"/>
  <c r="H78" i="9" s="1"/>
  <c r="H79" i="9" s="1"/>
  <c r="Q11" i="4"/>
  <c r="J71" i="11"/>
  <c r="J72" i="11" s="1"/>
  <c r="R13" i="4"/>
  <c r="K89" i="6"/>
  <c r="K90" i="6" s="1"/>
  <c r="S7" i="4"/>
  <c r="H88" i="6"/>
  <c r="D6" i="5"/>
  <c r="D141" i="5" s="1"/>
  <c r="D142" i="5" s="1"/>
  <c r="L6" i="4"/>
  <c r="E78" i="9"/>
  <c r="E79" i="9" s="1"/>
  <c r="D6" i="9"/>
  <c r="D78" i="9" s="1"/>
  <c r="D79" i="9" s="1"/>
  <c r="L11" i="4"/>
  <c r="D158" i="1"/>
  <c r="D87" i="1"/>
  <c r="I216" i="1"/>
  <c r="I217" i="1" s="1"/>
  <c r="G162" i="1"/>
  <c r="D162" i="1" s="1"/>
  <c r="G44" i="1"/>
  <c r="D44" i="1" s="1"/>
  <c r="D185" i="1"/>
  <c r="D90" i="1"/>
  <c r="D188" i="1"/>
  <c r="D83" i="1"/>
  <c r="D147" i="1"/>
  <c r="F130" i="1"/>
  <c r="G172" i="1"/>
  <c r="D172" i="1" s="1"/>
  <c r="H215" i="1"/>
  <c r="G7" i="1"/>
  <c r="D7" i="1" s="1"/>
  <c r="J216" i="1"/>
  <c r="J217" i="1" s="1"/>
  <c r="R10" i="4"/>
  <c r="D107" i="1"/>
  <c r="G131" i="1"/>
  <c r="D173" i="1"/>
  <c r="D91" i="1"/>
  <c r="D78" i="1"/>
  <c r="D56" i="1"/>
  <c r="D58" i="1"/>
  <c r="E19" i="1"/>
  <c r="K216" i="1"/>
  <c r="K217" i="1" s="1"/>
  <c r="S10" i="4"/>
  <c r="D11" i="1"/>
  <c r="D22" i="1"/>
  <c r="D43" i="1"/>
  <c r="D93" i="1"/>
  <c r="D70" i="1"/>
  <c r="D26" i="1"/>
  <c r="R14" i="4"/>
  <c r="J34" i="12"/>
  <c r="J35" i="12" s="1"/>
  <c r="R23" i="4"/>
  <c r="G158" i="20"/>
  <c r="G159" i="20" s="1"/>
  <c r="C158" i="20"/>
  <c r="C159" i="20" s="1"/>
  <c r="E582" i="3"/>
  <c r="I582" i="3"/>
  <c r="I583" i="3" s="1"/>
  <c r="R25" i="4"/>
  <c r="J583" i="3"/>
  <c r="K583" i="3"/>
  <c r="S25" i="4"/>
  <c r="H6" i="3"/>
  <c r="F582" i="3"/>
  <c r="J140" i="19"/>
  <c r="J141" i="19" s="1"/>
  <c r="K140" i="19"/>
  <c r="K141" i="19" s="1"/>
  <c r="S22" i="4"/>
  <c r="P22" i="4" s="1"/>
  <c r="H6" i="19"/>
  <c r="H6" i="17"/>
  <c r="Q20" i="4"/>
  <c r="I94" i="17"/>
  <c r="I95" i="17" s="1"/>
  <c r="F6" i="17"/>
  <c r="M20" i="4" s="1"/>
  <c r="D18" i="17"/>
  <c r="S20" i="4"/>
  <c r="K94" i="17"/>
  <c r="K95" i="17" s="1"/>
  <c r="H6" i="16"/>
  <c r="H94" i="16" s="1"/>
  <c r="H95" i="16" s="1"/>
  <c r="J95" i="16"/>
  <c r="S19" i="4"/>
  <c r="F94" i="16"/>
  <c r="F95" i="16" s="1"/>
  <c r="D6" i="16"/>
  <c r="D94" i="16" s="1"/>
  <c r="D95" i="16" s="1"/>
  <c r="K9" i="4" l="1"/>
  <c r="N9" i="4" s="1"/>
  <c r="P6" i="4"/>
  <c r="K6" i="4"/>
  <c r="N6" i="4" s="1"/>
  <c r="D221" i="13"/>
  <c r="AQ16" i="22" s="1"/>
  <c r="AP16" i="22" s="1"/>
  <c r="E158" i="20"/>
  <c r="E159" i="20" s="1"/>
  <c r="H142" i="5"/>
  <c r="D13" i="17"/>
  <c r="D92" i="17"/>
  <c r="AQ21" i="22" s="1"/>
  <c r="AP21" i="22" s="1"/>
  <c r="K11" i="4"/>
  <c r="N11" i="4" s="1"/>
  <c r="E94" i="17"/>
  <c r="E95" i="17" s="1"/>
  <c r="L20" i="4"/>
  <c r="E224" i="13"/>
  <c r="H582" i="3"/>
  <c r="H583" i="3" s="1"/>
  <c r="H158" i="20"/>
  <c r="H159" i="20" s="1"/>
  <c r="F158" i="20"/>
  <c r="F159" i="20" s="1"/>
  <c r="H140" i="19"/>
  <c r="H141" i="19" s="1"/>
  <c r="H94" i="17"/>
  <c r="H95" i="17" s="1"/>
  <c r="H136" i="18"/>
  <c r="H137" i="18" s="1"/>
  <c r="H72" i="11"/>
  <c r="K14" i="4"/>
  <c r="N14" i="4" s="1"/>
  <c r="K19" i="4"/>
  <c r="N19" i="4" s="1"/>
  <c r="H39" i="10"/>
  <c r="D39" i="10"/>
  <c r="D90" i="6"/>
  <c r="P11" i="4"/>
  <c r="K21" i="4"/>
  <c r="N21" i="4" s="1"/>
  <c r="D72" i="11"/>
  <c r="P17" i="4"/>
  <c r="P21" i="4"/>
  <c r="K17" i="4"/>
  <c r="N17" i="4" s="1"/>
  <c r="H90" i="6"/>
  <c r="P13" i="4"/>
  <c r="K7" i="4"/>
  <c r="N7" i="4" s="1"/>
  <c r="P18" i="4"/>
  <c r="H110" i="14"/>
  <c r="L15" i="4"/>
  <c r="D20" i="1"/>
  <c r="G6" i="17"/>
  <c r="O20" i="4" s="1"/>
  <c r="D16" i="14"/>
  <c r="P16" i="4"/>
  <c r="G6" i="13"/>
  <c r="D6" i="13" s="1"/>
  <c r="D223" i="13" s="1"/>
  <c r="G222" i="13"/>
  <c r="P7" i="4"/>
  <c r="P23" i="4"/>
  <c r="D136" i="18"/>
  <c r="F223" i="13"/>
  <c r="F224" i="13" s="1"/>
  <c r="M15" i="4"/>
  <c r="K12" i="4"/>
  <c r="N12" i="4" s="1"/>
  <c r="E109" i="14"/>
  <c r="E110" i="14" s="1"/>
  <c r="L16" i="4"/>
  <c r="K13" i="4"/>
  <c r="N13" i="4" s="1"/>
  <c r="P12" i="4"/>
  <c r="H217" i="1"/>
  <c r="D19" i="1"/>
  <c r="P10" i="4"/>
  <c r="G130" i="1"/>
  <c r="D130" i="1" s="1"/>
  <c r="D131" i="1"/>
  <c r="H34" i="12"/>
  <c r="H35" i="12" s="1"/>
  <c r="Q14" i="4"/>
  <c r="I34" i="12"/>
  <c r="I35" i="12" s="1"/>
  <c r="D6" i="20"/>
  <c r="D158" i="20" s="1"/>
  <c r="D159" i="20" s="1"/>
  <c r="P25" i="4"/>
  <c r="F94" i="17"/>
  <c r="F95" i="17" s="1"/>
  <c r="P20" i="4"/>
  <c r="P19" i="4"/>
  <c r="S26" i="4"/>
  <c r="G94" i="17" l="1"/>
  <c r="G95" i="17" s="1"/>
  <c r="D93" i="17"/>
  <c r="D6" i="17"/>
  <c r="D94" i="17" s="1"/>
  <c r="K20" i="4"/>
  <c r="N20" i="4" s="1"/>
  <c r="D222" i="13"/>
  <c r="D224" i="13" s="1"/>
  <c r="G223" i="13"/>
  <c r="G224" i="13" s="1"/>
  <c r="O15" i="4"/>
  <c r="K15" i="4" s="1"/>
  <c r="N15" i="4" s="1"/>
  <c r="P14" i="4"/>
  <c r="Q26" i="4"/>
  <c r="K23" i="4"/>
  <c r="N23" i="4" s="1"/>
  <c r="D95" i="17" l="1"/>
  <c r="C18" i="2" l="1"/>
  <c r="C6" i="2" s="1"/>
  <c r="C103" i="2" s="1"/>
  <c r="C101" i="2"/>
  <c r="C102" i="2" s="1"/>
  <c r="C104" i="2" l="1"/>
  <c r="E154" i="1" l="1"/>
  <c r="F154" i="1"/>
  <c r="C209" i="1"/>
  <c r="C215" i="1" s="1"/>
  <c r="C153" i="1"/>
  <c r="C6" i="1" s="1"/>
  <c r="C216" i="1" s="1"/>
  <c r="E209" i="1" l="1"/>
  <c r="E215" i="1" s="1"/>
  <c r="C217" i="1"/>
  <c r="F153" i="1"/>
  <c r="G154" i="1"/>
  <c r="F209" i="1"/>
  <c r="E153" i="1"/>
  <c r="G209" i="1" l="1"/>
  <c r="G215" i="1" s="1"/>
  <c r="G153" i="1"/>
  <c r="G6" i="1" s="1"/>
  <c r="E6" i="1"/>
  <c r="D154" i="1"/>
  <c r="L10" i="4" l="1"/>
  <c r="E216" i="1"/>
  <c r="E217" i="1" s="1"/>
  <c r="D153" i="1"/>
  <c r="G216" i="1"/>
  <c r="G217" i="1" s="1"/>
  <c r="O10" i="4"/>
  <c r="D209" i="1"/>
  <c r="AX11" i="22" s="1"/>
  <c r="C139" i="19" l="1"/>
  <c r="C7" i="19"/>
  <c r="C6" i="19" s="1"/>
  <c r="E9" i="19"/>
  <c r="E138" i="19" s="1"/>
  <c r="F9" i="19"/>
  <c r="F7" i="19" l="1"/>
  <c r="F138" i="19"/>
  <c r="C140" i="19"/>
  <c r="C141" i="19" s="1"/>
  <c r="G9" i="19"/>
  <c r="G138" i="19" s="1"/>
  <c r="E7" i="19"/>
  <c r="G7" i="19" l="1"/>
  <c r="D9" i="19"/>
  <c r="D138" i="19" l="1"/>
  <c r="AQ23" i="22" s="1"/>
  <c r="D7" i="19"/>
  <c r="C582" i="3" l="1"/>
  <c r="C583" i="3" s="1"/>
  <c r="F215" i="1"/>
  <c r="D29" i="1"/>
  <c r="F27" i="1"/>
  <c r="F6" i="1" s="1"/>
  <c r="D214" i="1" l="1"/>
  <c r="AQ11" i="22" s="1"/>
  <c r="D27" i="1"/>
  <c r="M10" i="4"/>
  <c r="D6" i="1"/>
  <c r="D216" i="1" s="1"/>
  <c r="F216" i="1"/>
  <c r="F217" i="1" s="1"/>
  <c r="D215" i="1" l="1"/>
  <c r="D217" i="1" s="1"/>
  <c r="K10" i="4"/>
  <c r="N10" i="4" s="1"/>
  <c r="AP11" i="22"/>
  <c r="G56" i="14"/>
  <c r="D56" i="14" s="1"/>
  <c r="G108" i="14"/>
  <c r="D58" i="14"/>
  <c r="D107" i="14" s="1"/>
  <c r="AQ17" i="22" l="1"/>
  <c r="D108" i="14"/>
  <c r="G6" i="14"/>
  <c r="G109" i="14" l="1"/>
  <c r="G110" i="14" s="1"/>
  <c r="O16" i="4"/>
  <c r="D6" i="14"/>
  <c r="D109" i="14" s="1"/>
  <c r="D110" i="14" s="1"/>
  <c r="AP17" i="22"/>
  <c r="K16" i="4" l="1"/>
  <c r="N16" i="4" s="1"/>
  <c r="E100" i="2"/>
  <c r="E102" i="2" s="1"/>
  <c r="D8" i="2"/>
  <c r="D100" i="2" s="1"/>
  <c r="AX19" i="22" s="1"/>
  <c r="E7" i="2"/>
  <c r="D7" i="2" s="1"/>
  <c r="AP19" i="22" l="1"/>
  <c r="E6" i="2"/>
  <c r="D102" i="2"/>
  <c r="L18" i="4" l="1"/>
  <c r="E103" i="2"/>
  <c r="E104" i="2" s="1"/>
  <c r="D6" i="2"/>
  <c r="D103" i="2" s="1"/>
  <c r="D104" i="2" s="1"/>
  <c r="K18" i="4" l="1"/>
  <c r="N18" i="4" s="1"/>
  <c r="J222" i="13" l="1"/>
  <c r="J145" i="13"/>
  <c r="H145" i="13" s="1"/>
  <c r="H146" i="13"/>
  <c r="H213" i="13" l="1"/>
  <c r="H222" i="13" s="1"/>
  <c r="J6" i="13"/>
  <c r="H6" i="13" s="1"/>
  <c r="H223" i="13" s="1"/>
  <c r="H224" i="13" l="1"/>
  <c r="BE16" i="22"/>
  <c r="BE27" i="22" s="1"/>
  <c r="BB27" i="22" s="1"/>
  <c r="BN27" i="22" s="1"/>
  <c r="J223" i="13"/>
  <c r="J224" i="13" s="1"/>
  <c r="R15" i="4"/>
  <c r="R26" i="4" s="1"/>
  <c r="BB16" i="22" l="1"/>
  <c r="BN16" i="22" s="1"/>
  <c r="P15" i="4"/>
  <c r="P26" i="4" s="1"/>
  <c r="F577" i="3" l="1"/>
  <c r="F581" i="3" s="1"/>
  <c r="F583" i="3" s="1"/>
  <c r="D90" i="3"/>
  <c r="D577" i="3" s="1"/>
  <c r="AX26" i="22" s="1"/>
  <c r="E136" i="19" l="1"/>
  <c r="E139" i="19" s="1"/>
  <c r="F136" i="19"/>
  <c r="F139" i="19" s="1"/>
  <c r="F103" i="19"/>
  <c r="F6" i="19" s="1"/>
  <c r="G136" i="19"/>
  <c r="G139" i="19" s="1"/>
  <c r="D104" i="19"/>
  <c r="D136" i="19" s="1"/>
  <c r="E103" i="19"/>
  <c r="E6" i="19" s="1"/>
  <c r="G103" i="19"/>
  <c r="G6" i="19" s="1"/>
  <c r="O22" i="4" s="1"/>
  <c r="D103" i="19" l="1"/>
  <c r="E140" i="19"/>
  <c r="E141" i="19" s="1"/>
  <c r="D139" i="19"/>
  <c r="AX23" i="22"/>
  <c r="M22" i="4"/>
  <c r="F140" i="19"/>
  <c r="F141" i="19" s="1"/>
  <c r="G140" i="19"/>
  <c r="G141" i="19" s="1"/>
  <c r="M26" i="4" l="1"/>
  <c r="D6" i="19"/>
  <c r="D140" i="19" s="1"/>
  <c r="D141" i="19" s="1"/>
  <c r="L22" i="4"/>
  <c r="AP23" i="22"/>
  <c r="L26" i="4" l="1"/>
  <c r="K22" i="4"/>
  <c r="N22" i="4" s="1"/>
  <c r="E581" i="3" l="1"/>
  <c r="E583" i="3" s="1"/>
  <c r="G335" i="3"/>
  <c r="G332" i="3" l="1"/>
  <c r="D332" i="3" s="1"/>
  <c r="G580" i="3"/>
  <c r="G581" i="3" s="1"/>
  <c r="D335" i="3"/>
  <c r="G6" i="3" l="1"/>
  <c r="O25" i="4" s="1"/>
  <c r="D580" i="3"/>
  <c r="AQ26" i="22" s="1"/>
  <c r="D6" i="3" l="1"/>
  <c r="D582" i="3" s="1"/>
  <c r="G582" i="3"/>
  <c r="G583" i="3" s="1"/>
  <c r="D581" i="3"/>
  <c r="AP26" i="22"/>
  <c r="K25" i="4"/>
  <c r="O26" i="4"/>
  <c r="K26" i="4" l="1"/>
  <c r="N26" i="4" s="1"/>
  <c r="N25" i="4"/>
  <c r="D583" i="3"/>
  <c r="D110" i="18"/>
  <c r="D78" i="18"/>
  <c r="D58" i="18"/>
  <c r="D40" i="18"/>
  <c r="D46" i="18"/>
  <c r="D66" i="18"/>
  <c r="D49" i="18"/>
  <c r="D99" i="18"/>
  <c r="D37" i="18"/>
  <c r="D131" i="18" s="1"/>
  <c r="AX22" i="22" s="1"/>
  <c r="AX27" i="22" s="1"/>
  <c r="D120" i="18"/>
  <c r="D88" i="18"/>
  <c r="D31" i="18"/>
  <c r="D116" i="18"/>
  <c r="D134" i="18" l="1"/>
  <c r="AQ22" i="22" s="1"/>
  <c r="AP22" i="22" s="1"/>
  <c r="D135" i="18" l="1"/>
  <c r="D137" i="18" s="1"/>
  <c r="AQ27" i="22"/>
  <c r="AP27" i="22" s="1"/>
  <c r="F138" i="18" l="1"/>
</calcChain>
</file>

<file path=xl/comments1.xml><?xml version="1.0" encoding="utf-8"?>
<comments xmlns="http://schemas.openxmlformats.org/spreadsheetml/2006/main">
  <authors>
    <author>d.osipova</author>
  </authors>
  <commentList>
    <comment ref="S26" authorId="0" shapeId="0">
      <text>
        <r>
          <rPr>
            <b/>
            <sz val="9"/>
            <color indexed="81"/>
            <rFont val="Tahoma"/>
            <family val="2"/>
            <charset val="204"/>
          </rPr>
          <t>d.osipova:</t>
        </r>
        <r>
          <rPr>
            <sz val="9"/>
            <color indexed="81"/>
            <rFont val="Tahoma"/>
            <family val="2"/>
            <charset val="204"/>
          </rPr>
          <t xml:space="preserve">
если сравнивать с оперативкой, то еще +500000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  <charset val="204"/>
          </rPr>
          <t>d.osipova:</t>
        </r>
        <r>
          <rPr>
            <sz val="9"/>
            <color indexed="81"/>
            <rFont val="Tahoma"/>
            <family val="2"/>
            <charset val="204"/>
          </rPr>
          <t xml:space="preserve">
возврат ошибочно уплаченных, перевод субсидии на 59</t>
        </r>
      </text>
    </comment>
  </commentList>
</comments>
</file>

<file path=xl/sharedStrings.xml><?xml version="1.0" encoding="utf-8"?>
<sst xmlns="http://schemas.openxmlformats.org/spreadsheetml/2006/main" count="3753" uniqueCount="895">
  <si>
    <t>№ п/п</t>
  </si>
  <si>
    <t>Наименование объекта</t>
  </si>
  <si>
    <t>Всего</t>
  </si>
  <si>
    <t>областной бюджет</t>
  </si>
  <si>
    <t>местный бюджет</t>
  </si>
  <si>
    <t>средства собственников помещения</t>
  </si>
  <si>
    <t>г. Корсаков, ул. Первомайская, д. 37</t>
  </si>
  <si>
    <t>г. Корсаков, ул. Флотская, д. 60</t>
  </si>
  <si>
    <t>ГО Александровск-Сахалинский</t>
  </si>
  <si>
    <t>Анивский городской округ</t>
  </si>
  <si>
    <t>Бошняковское сельское поселение</t>
  </si>
  <si>
    <t>Городской округ Долинский</t>
  </si>
  <si>
    <t xml:space="preserve">Городской округ Долинский </t>
  </si>
  <si>
    <t>Корсаковский городской округ</t>
  </si>
  <si>
    <t>Курильский городской округ</t>
  </si>
  <si>
    <t>Макаровский городской округ</t>
  </si>
  <si>
    <t>Невельский городской округ</t>
  </si>
  <si>
    <t>Городской округ Ногликский</t>
  </si>
  <si>
    <t>Городской округ Охинский</t>
  </si>
  <si>
    <t>Поронайский городской округ</t>
  </si>
  <si>
    <t>Северо-Курильский городской округ</t>
  </si>
  <si>
    <t>Городской округ Смирныховский</t>
  </si>
  <si>
    <t>Томаринский городской округ</t>
  </si>
  <si>
    <t>Тымовский городской округ</t>
  </si>
  <si>
    <t>Углегорский муниципальный район</t>
  </si>
  <si>
    <t>Холмский городской округ</t>
  </si>
  <si>
    <t>Шахтерское городское поселение</t>
  </si>
  <si>
    <t>Южно-Курильский городской округ</t>
  </si>
  <si>
    <t xml:space="preserve">ГО г. Южно-Сахалинск </t>
  </si>
  <si>
    <t>Городской округ Ноглинский</t>
  </si>
  <si>
    <t>Городской округ Южно-Сахалинск</t>
  </si>
  <si>
    <t>с. Зональное, ул. Строительная, д. 10</t>
  </si>
  <si>
    <t>г. Южно-Сахалинск, ул. Сахалинская, д. 55</t>
  </si>
  <si>
    <t>Профинансировано                                                                                (нарастающим итогом с начала года)</t>
  </si>
  <si>
    <t>г. Южно-Сахалинск, ул. Чехова, д. 31</t>
  </si>
  <si>
    <t>г. Южно-Сахалинск, ул. Курильская, д. 43, лит. А</t>
  </si>
  <si>
    <t>г. Южно-Сахалинск, ул. Ленина, д. 182</t>
  </si>
  <si>
    <t>г. Углегорск, ул. Победы, д. 169, лит. А</t>
  </si>
  <si>
    <t>г. Углегорск, ул. Портовая, д. 30</t>
  </si>
  <si>
    <t>г. Углегорск, ул. Приморская, д. 15</t>
  </si>
  <si>
    <t>г. Углегорск, ул. Приморская, д. 17</t>
  </si>
  <si>
    <t>г. Углегорск, ул. Приморская, д. 45</t>
  </si>
  <si>
    <t>г. Углегорск, ул. Приморская, д. 47</t>
  </si>
  <si>
    <t>г. Углегорск, ул. Приморская, д. 49</t>
  </si>
  <si>
    <t>г. Томари, ул. Ломоносова, д. 10</t>
  </si>
  <si>
    <t>г. Томари, ул. Ломоносова, д. 22</t>
  </si>
  <si>
    <t>г. Оха, ул. Красных Партизан, д. 20</t>
  </si>
  <si>
    <t>с. Шебунино, пер. Дачный 1-й, д. 2</t>
  </si>
  <si>
    <t>с. Быков, ул. Горняцкая, д. 19</t>
  </si>
  <si>
    <t>г. Александровск-Сахалинский, ул. Кирова, д. 51</t>
  </si>
  <si>
    <t>г. Александровск-Сахалинский, ул. Кирова, д. 75</t>
  </si>
  <si>
    <t>с. Мгачи, ул. Первомайская, д. 30</t>
  </si>
  <si>
    <t>с. Мгачи, ул. Первомайская, д. 52, лит. А</t>
  </si>
  <si>
    <t>с. Михайловка, пер. Клубный, д. 7, лит. А</t>
  </si>
  <si>
    <t>с. Михайловка, ул. Первомайская, д. 6</t>
  </si>
  <si>
    <t>г. Шахтерск, ул. Ленина, д. 11</t>
  </si>
  <si>
    <t>г. Шахтерск, ул. Ленина, д. 5</t>
  </si>
  <si>
    <t>г. Шахтерск, ул. Ленина, д. 7</t>
  </si>
  <si>
    <t>г. Шахтерск, ул. Ленина, д. 9</t>
  </si>
  <si>
    <t>Итого по области:</t>
  </si>
  <si>
    <t>г. Поронайск, ул. Невельская, д. 56</t>
  </si>
  <si>
    <t>г. Поронайск, ул. Сахалинская, д. 1</t>
  </si>
  <si>
    <t>г. Южно-Сахалинск, пр-кт Коммунистический, д. 74</t>
  </si>
  <si>
    <t>г. Южно-Сахалинск, ул. Имени Антона Буюклы, д. 78</t>
  </si>
  <si>
    <t>Теплоснабжение</t>
  </si>
  <si>
    <t>Водоснабжение</t>
  </si>
  <si>
    <t>Водоотведение</t>
  </si>
  <si>
    <t>ПСД</t>
  </si>
  <si>
    <t>Электроснабжение</t>
  </si>
  <si>
    <t>с. Огоньки, ул. Школьная, д. 18, лит. А</t>
  </si>
  <si>
    <t>г. Южно-Сахалинск, п/р. Луговое, ул. Дружбы, д. 6</t>
  </si>
  <si>
    <t>МКД</t>
  </si>
  <si>
    <t>конструктивов</t>
  </si>
  <si>
    <t>план</t>
  </si>
  <si>
    <t>%</t>
  </si>
  <si>
    <t>факт оплата</t>
  </si>
  <si>
    <t>факт выполнено</t>
  </si>
  <si>
    <t>г. Александровск-Сахалинский, ул. Герцена, д. 2, лит. Б</t>
  </si>
  <si>
    <t>г. Александровск-Сахалинский, ул. Тимирязева, д. 1</t>
  </si>
  <si>
    <t>г. Александровск-Сахалинский, ул. Тимирязева, д. 2</t>
  </si>
  <si>
    <t>с. Михайловка, пер. Клубный, д. 6, лит. А</t>
  </si>
  <si>
    <t>с. Михайловка, пер. Клубный, д.7</t>
  </si>
  <si>
    <t>с. Михайловка, ул. Первомайская, д. 4</t>
  </si>
  <si>
    <t>г. Александровск-Сахалинский, ул. Тимирязева, д. 2, лит. А</t>
  </si>
  <si>
    <t>г. Александровск-Сахалинский, ул. Тимирязева, д. 3</t>
  </si>
  <si>
    <t>г. Александровск-Сахалинский, ул. Тимирязева, д. 4 лит. А</t>
  </si>
  <si>
    <t>г. Александровск-Сахалинский, ул. Дзержинского, д. 2</t>
  </si>
  <si>
    <t>г. Александровск-Сахалинский, ул. Ленина, д. 8</t>
  </si>
  <si>
    <t>с. Мгачи, ул. Ново – Мгачинская, д. 13</t>
  </si>
  <si>
    <t>с. Мгачи, ул. Советская, д. 24</t>
  </si>
  <si>
    <t>с. Мгачи, ул. Советская, д. 28</t>
  </si>
  <si>
    <t>г. Александровск-Сахалинский, ул. Кондрашкина, д. 17</t>
  </si>
  <si>
    <t>г. Александровск-Сахалинский, ул. Ленина, д. 11</t>
  </si>
  <si>
    <t>г. Александровск-Сахалинский, ул. Смирных, д. 9</t>
  </si>
  <si>
    <t>г. Анива, ул. Дьяконова, д. 17</t>
  </si>
  <si>
    <t>г. Анива, ул. Кирова, д. 34</t>
  </si>
  <si>
    <t>г. Анива, ул. Октябрьская, д. 21</t>
  </si>
  <si>
    <t>с. Таранай, ул. Новая, д. 1</t>
  </si>
  <si>
    <t>с. Таранай, ул. Центральная, д. 7, лит. Б</t>
  </si>
  <si>
    <t>с. Троицкое, ул. Советская, д. 5</t>
  </si>
  <si>
    <t>г. Анива, ул. Кирова, д. 32</t>
  </si>
  <si>
    <t>г. Анива, ул. Кирова, д. 36</t>
  </si>
  <si>
    <t>г. Анива, ул. Кирова, д. 6</t>
  </si>
  <si>
    <t>г. Анива, ул. Кирова, д. 8</t>
  </si>
  <si>
    <t>г. Анива, ул. Ленина, д. 21</t>
  </si>
  <si>
    <t>г. Анива, ул. Ленина, д. 47</t>
  </si>
  <si>
    <t>г. Анива, ул. Октябрьская, д. 24</t>
  </si>
  <si>
    <t>с. Мицулевка, ул. Железнодорожная, д. 4</t>
  </si>
  <si>
    <t>с. Огоньки, ул. Школьная, д. 4, лит. А</t>
  </si>
  <si>
    <t>с. Таранай, ул. Совхозная, д. 6</t>
  </si>
  <si>
    <t>с. Троицкое, ул. Молодежная, д. 16</t>
  </si>
  <si>
    <t>с. Троицкое, ул. Центральная, д. 32</t>
  </si>
  <si>
    <t>с. Троицкое, ул. Центральная, д. 36</t>
  </si>
  <si>
    <t>пгт. Бошняково, ул. Новостройка, д. 21</t>
  </si>
  <si>
    <t>г. Долинск, ул. Вилкова, д. 1</t>
  </si>
  <si>
    <t>г. Долинск, ул. Владивостокская, д. 24</t>
  </si>
  <si>
    <t>г. Долинск, ул. Ленина, д. 21</t>
  </si>
  <si>
    <t>г. Долинск, ул. Пионерская, д. 13</t>
  </si>
  <si>
    <t>с. Сокол, ул. Чкалова, д. 32</t>
  </si>
  <si>
    <t>с. Углезаводск, ул. Новая, д. 12</t>
  </si>
  <si>
    <t>с. Углезаводск, ул. Торговая, д. 4, лит. Б</t>
  </si>
  <si>
    <t>с. Быков, ул. Горняцкая, д. 5, лит. А</t>
  </si>
  <si>
    <t>с. Быков, ул. Горняцкая, д. 5, лит. Б</t>
  </si>
  <si>
    <t>с. Быков, ул. Шахтерская, д. 12</t>
  </si>
  <si>
    <t>с. Быков, ул. Шахтерская, д. 14</t>
  </si>
  <si>
    <t>с. Стародубское, ул. Заводская, д. 3</t>
  </si>
  <si>
    <t>с. Стародубское, ул. Лобанова, д. 3, лит. А</t>
  </si>
  <si>
    <t>с. Стародубское, ул. Лобанова, д. 5, лит. А</t>
  </si>
  <si>
    <t>с. Стародубское, ул. Мухина, д. 6</t>
  </si>
  <si>
    <t>с. Стародубское, ул. Набережная, д. 27</t>
  </si>
  <si>
    <t>с. Сокол, ул. Железнодорожная, д. 5</t>
  </si>
  <si>
    <t>с. Сокол, ул. Железнодорожная, д. 3</t>
  </si>
  <si>
    <t>г. Долинск, ул. Пионерская, д. 2, лит. Б</t>
  </si>
  <si>
    <t>г. Корсаков,  б-р Приморский, д. 12</t>
  </si>
  <si>
    <t>г. Корсаков,  б-р Приморский, д. 8</t>
  </si>
  <si>
    <t>г. Корсаков,  б-р Приморский, д. 9</t>
  </si>
  <si>
    <t>г. Корсаков, б-р Приморский, д. 10</t>
  </si>
  <si>
    <t>г. Корсаков, ул. Гвардейская, д. 97</t>
  </si>
  <si>
    <t>г. Корсаков, ул. Корсаковская, д. 28</t>
  </si>
  <si>
    <t>г. Корсаков, ул. Корсаковская, д. 32</t>
  </si>
  <si>
    <t>г. Корсаков, ул. Лермонтова, д. 3</t>
  </si>
  <si>
    <t>г. Корсаков, ул. Морская, д. 2</t>
  </si>
  <si>
    <t>г. Корсаков, ул. Нагорная, д. 5 корп. 1</t>
  </si>
  <si>
    <t>г. Корсаков, ул. Нагорная, д. 60</t>
  </si>
  <si>
    <t>г. Корсаков, ул. Нагорная, д. 60, лит. А</t>
  </si>
  <si>
    <t>г. Корсаков, ул. Нагорная, д. 62</t>
  </si>
  <si>
    <t xml:space="preserve">г. Корсаков, ул. Нагорная, д. 64 </t>
  </si>
  <si>
    <t>г. Корсаков, ул. Нагорная, д. 64 лит. Б</t>
  </si>
  <si>
    <t>г. Корсаков, ул. Нагорная, д. 68, лит. В</t>
  </si>
  <si>
    <t>г. Корсаков, ул. Невельская, д. 18</t>
  </si>
  <si>
    <t>г. Корсаков, ул. Окружная, д. 9</t>
  </si>
  <si>
    <t>г. Корсаков, ул. Первомайская, д. 51</t>
  </si>
  <si>
    <t>г. Корсаков, ул. Парковая, д. 11</t>
  </si>
  <si>
    <t>г. Корсаков, ул. Флотская, д. 15</t>
  </si>
  <si>
    <t>г. Корсаков, ул. Флотская, д. 60, лит. А</t>
  </si>
  <si>
    <t>г. Корсаков, ул. Флотская, д. 62, лит. А</t>
  </si>
  <si>
    <t>г. Корсаков, ул. Флотская, д. 62, лит. Б</t>
  </si>
  <si>
    <t>с. Соловьевка, ул. Новая, д. 8</t>
  </si>
  <si>
    <t>с. Соловьевка, ул. Центральная, д. 32</t>
  </si>
  <si>
    <t>г. Корсаков, б-р. Приморский, д. 5, корп. 1</t>
  </si>
  <si>
    <t>г. Корсаков, ул. Гвардейская, д. 95</t>
  </si>
  <si>
    <t>г. Корсаков, ул. Корсаковская, д. 146</t>
  </si>
  <si>
    <t>г. Корсаков, ул. Корсаковская, д. 36</t>
  </si>
  <si>
    <t>г. Корсаков, ул. Корсаковская, д. 44</t>
  </si>
  <si>
    <t>г. Корсаков, ул. Парковая, д. 13</t>
  </si>
  <si>
    <t>г. Корсаков, ул. Парковая, д. 15, корп. 1</t>
  </si>
  <si>
    <t>г. Корсаков, ул. Парковая, д. 9</t>
  </si>
  <si>
    <t>г. Корсаков, ул. Пролетарская, д. 10</t>
  </si>
  <si>
    <t>г. Корсаков, ул. Свердлова, д. 71</t>
  </si>
  <si>
    <t>г. Корсаков, ул. Серафимовича, д. 35, лит. А</t>
  </si>
  <si>
    <t>г. Корсаков, ул. Советская, д. 34</t>
  </si>
  <si>
    <t>г. Корсаков, ул. Советская, д. 53</t>
  </si>
  <si>
    <t>г. Корсаков, ул. Советская, д. 55</t>
  </si>
  <si>
    <t>г. Корсаков, ул. Федько, д. 6</t>
  </si>
  <si>
    <t>г. Корсаков, ул. Флотская, д. 17</t>
  </si>
  <si>
    <t>г. Корсаков, ул. Флотская, д. 53</t>
  </si>
  <si>
    <t>г. Корсаков, ул. Флотская, д. 53, корп. 1</t>
  </si>
  <si>
    <t>г. Корсаков, ул. Чапаева, д. 3, лит. А</t>
  </si>
  <si>
    <t>с. Охотское, ул. Лесная, д. 14</t>
  </si>
  <si>
    <t>с. Раздольное, ул. Окружная, д. 14</t>
  </si>
  <si>
    <t>г. Корсаков, ул. Окружная, д. 118, лит. Б</t>
  </si>
  <si>
    <t>с. Соловьевка, ул. Центральная, д. 29</t>
  </si>
  <si>
    <t>с. Чапаево, ул. Центральная, д. 11</t>
  </si>
  <si>
    <t>г. Курильск, ул. 60 лет Октября, д. 2</t>
  </si>
  <si>
    <t>г. Курильск, ул. 60 лет Октября, д. 3</t>
  </si>
  <si>
    <t>г. Курильск, ул. 60 лет Октября, д. 8</t>
  </si>
  <si>
    <t>г. Курильск, ул. 60 лет Октября, д. 9</t>
  </si>
  <si>
    <t>г. Курильск, ул. Заречная, д. 3</t>
  </si>
  <si>
    <t>г. Курильск, ул. Заречная, д. 5</t>
  </si>
  <si>
    <t>г. Макаров, ул. Ильичева, д. 2</t>
  </si>
  <si>
    <t>г. Макаров, ул. Милютина, д. 28</t>
  </si>
  <si>
    <t>г. Макаров, ул. Хабаровская, д. 11</t>
  </si>
  <si>
    <t>г. Макаров, ул. Ильичева, д. 13</t>
  </si>
  <si>
    <t>г. Макаров, ул. 50 лет ВЛКСМ, д. 1</t>
  </si>
  <si>
    <t>г. Невельск, ул. Вакканай, д. 6</t>
  </si>
  <si>
    <t>г. Невельск, ул. Победы, д. 14</t>
  </si>
  <si>
    <t>г. Невельск, ул. Победы, д. 19</t>
  </si>
  <si>
    <t>г. Невельск, ул. Советская, д. 3</t>
  </si>
  <si>
    <t>г. Невельск, ул. Советская, д. 5</t>
  </si>
  <si>
    <t>г. Невельск, ул. Чехова, д. 20</t>
  </si>
  <si>
    <t>г. Невельск, ул. Школьная, д. 95, лит. А</t>
  </si>
  <si>
    <t>г. Невельск, ул. Яна Фабрициуса, д. 53</t>
  </si>
  <si>
    <t>с. Горнозаводск, ул. Центральная, д. 98</t>
  </si>
  <si>
    <t>с. Горнозаводск, ул. Шахтовая, д. 13</t>
  </si>
  <si>
    <t>с. Шебунино, ул. Дачная, д. 5</t>
  </si>
  <si>
    <t>г. Невельск, ул. Железнодорожная, д. 49</t>
  </si>
  <si>
    <t>г. Невельск, ул. Железнодорожная, д. 51</t>
  </si>
  <si>
    <t>г. Невельск, ул. Школьная, д. 93</t>
  </si>
  <si>
    <t>с. Горнозаводск, ул. Советская, д. 61, лит. А</t>
  </si>
  <si>
    <t>г. Невельск, ул. Школьная, д. 89</t>
  </si>
  <si>
    <t>пгт. Ноглики, ул. 15 Мая, д. 36, лит. А</t>
  </si>
  <si>
    <t>пгт. Ноглики, ул. 15 Мая, д. 36, лит. Б</t>
  </si>
  <si>
    <t>пгт. Ноглики, ул. Н. Репина, д. 5</t>
  </si>
  <si>
    <t>пгт. Ноглики, ул. Пограничная, д. 1</t>
  </si>
  <si>
    <t>пгт. Ноглики, ул. Комсомольская, д. 39</t>
  </si>
  <si>
    <t xml:space="preserve">пгт. Ноглики, ул. Советская, д. 61 </t>
  </si>
  <si>
    <t>пгт. Ноглики, ул. Академика Штернберга, д. 4, лит. А</t>
  </si>
  <si>
    <t xml:space="preserve"> г. Оха, ул. 50 лет Октября, д. 25, корп. 8</t>
  </si>
  <si>
    <t xml:space="preserve"> г. Оха, ул. 50 лет Октября, д. 28</t>
  </si>
  <si>
    <t xml:space="preserve"> г. Оха, ул. 50 лет Октября, д. 28, корп. 1</t>
  </si>
  <si>
    <t>c. Москальво. ул. Советская. д. 53</t>
  </si>
  <si>
    <t>c. Москальво. ул. Советская. д. 54</t>
  </si>
  <si>
    <t>г. Оха, ул. 50 лет Октября, д. 25, корп. 9</t>
  </si>
  <si>
    <t>г. Оха, ул. 50 лет Октября, д. 28, корп. 7</t>
  </si>
  <si>
    <t>г. Оха, ул. 50 лет Октября, д. 30, корп. 1</t>
  </si>
  <si>
    <t>г. Оха, ул. 60 лет СССР, д. 17</t>
  </si>
  <si>
    <t>г. Оха, ул. 60 лет СССР, д. 36</t>
  </si>
  <si>
    <t>г. Оха, ул. Дзержинского, д. 24</t>
  </si>
  <si>
    <t>г. Оха, ул. Охотская, д. 7</t>
  </si>
  <si>
    <t>г. Оха, уч-к. 2-й, д. 1, лит. А</t>
  </si>
  <si>
    <t>г. Оха, уч-к. 2-й, д. 2, лит. А</t>
  </si>
  <si>
    <t>г. Оха, уч-к. 2-й, д. 3, лит. А</t>
  </si>
  <si>
    <t>г. Оха, уч-к. 2-й, д. 4, лит. А</t>
  </si>
  <si>
    <t>с. Восточное, ул. Береговая, д. 11</t>
  </si>
  <si>
    <t>с. Восточное, ул. Береговая, д. 13</t>
  </si>
  <si>
    <t>с. Восточное, ул. Береговая, д. 15</t>
  </si>
  <si>
    <t>с. Восточное, ул. Береговая, д. 7</t>
  </si>
  <si>
    <t>с. Восточное, ул. Береговая, д. 9</t>
  </si>
  <si>
    <t>с. Восточное, ул. Школьная, д. 8, лит. А</t>
  </si>
  <si>
    <t>с. Москальво, ул. Советская, д. 56</t>
  </si>
  <si>
    <t xml:space="preserve">г. Оха, ул. Красноармейская, д. 14 </t>
  </si>
  <si>
    <t>г. Оха, ул. 60 лет СССР, д. 38, корп. 1</t>
  </si>
  <si>
    <t>г. Оха, ул. 60 лет СССР, д. 36, корп. 1</t>
  </si>
  <si>
    <t>г. Оха, ул. Дзержинского, д. 31</t>
  </si>
  <si>
    <t>г. Оха, ул. 60 лет СССР, д. 36, корп. 2</t>
  </si>
  <si>
    <t>г. Оха, ул. 60 лет СССР, д. 38</t>
  </si>
  <si>
    <t>г. Оха, ул. 60 лет СССР, д. 38, корп. 3</t>
  </si>
  <si>
    <t>г. Оха, п/р. Лагури, ул. Ленина, д. 17</t>
  </si>
  <si>
    <t>г. Поронайск, ул. Дружбы, д. 1</t>
  </si>
  <si>
    <t>г. Поронайск, ул. Ленина, д. 18</t>
  </si>
  <si>
    <t>г. Поронайск, ул. Молодежная, д. 10</t>
  </si>
  <si>
    <t>г. Поронайск, ул. Молодежная, д. 8</t>
  </si>
  <si>
    <t>г. Поронайск, ул. Октябрьская, д. 6</t>
  </si>
  <si>
    <t>г. Поронайск, ул. Сахалинская, д. 27</t>
  </si>
  <si>
    <t>г. Поронайск, ул. Сахалинская, д. 5</t>
  </si>
  <si>
    <t>пгт. Вахрушев, ул. Речная, д. 13</t>
  </si>
  <si>
    <t>пгт. Вахрушев, ул. Речная, д. 14</t>
  </si>
  <si>
    <t>пгт. Вахрушев, ул. Центральная, д. 85</t>
  </si>
  <si>
    <t>г. Поронайск, ул. Октябрьская, д. 75</t>
  </si>
  <si>
    <t>г. Поронайск, пер. Советский, д. 3</t>
  </si>
  <si>
    <t>г. Поронайск, ул. 40 лет ВЛКСМ, д. 18</t>
  </si>
  <si>
    <t>г. Северо-Курильск, ул. 60 лет Октября, д. 10</t>
  </si>
  <si>
    <t>г. Северо-Курильск, ул. 60 лет Октября, д. 12</t>
  </si>
  <si>
    <t>г. Северо-Курильск, ул. 60 лет Октября, д. 15</t>
  </si>
  <si>
    <t>г. Северо-Курильск, ул. 60 лет Октября, д. 7, лит. А</t>
  </si>
  <si>
    <t>г. Северо-Курильск, ул. Вилкова, д. 7, лит. Б</t>
  </si>
  <si>
    <t>г. Северо-Курильск, ул. Сахалинская, д. 44, лит. А</t>
  </si>
  <si>
    <t>г. Северо-Курильск, ул. Сахалинская, д. 46, лит. А</t>
  </si>
  <si>
    <t>г. Северо-Курильск, ул. Сахалинская, д. 73, лит. А</t>
  </si>
  <si>
    <t>г. Северо-Курильск, ул. Шутова,  д. 1</t>
  </si>
  <si>
    <t>г. Северо-Курильск, ул. Шутова,  д.20</t>
  </si>
  <si>
    <t>г. Северо-Курильск, ул. Шутова, д. 4</t>
  </si>
  <si>
    <t>г. Северо-Курильск, ул. Шутова, д. 4, лит. А</t>
  </si>
  <si>
    <t>г. Северо-Курильск, ул. 60 лет Октября, д. 14</t>
  </si>
  <si>
    <t>г. Северо-Курильск, ул. Сахалинская, д. 77</t>
  </si>
  <si>
    <t>пгт. Смирных, ул. 3 микрорайон, д. 16</t>
  </si>
  <si>
    <t>пгт. Смирных, ул. 3 микрорайон, д. 20</t>
  </si>
  <si>
    <t>пгт. Смирных, ул. 3 микрорайон, д. 1, лит. Б</t>
  </si>
  <si>
    <t>пгт. Смирных, ул. 60 лет СССР, д. 6</t>
  </si>
  <si>
    <t>пгт. Смирных, ул. Западная, д. 10</t>
  </si>
  <si>
    <t>пгт. Смирных, ул. Западная, д. 10, корп. 2</t>
  </si>
  <si>
    <t>пгт. Смирных, ул. Западная, д. 10, корп. 3</t>
  </si>
  <si>
    <t>пгт. Смирных, ул. Западная, д. 11</t>
  </si>
  <si>
    <t>пгт. Смирных, ул. Западная, д. 6</t>
  </si>
  <si>
    <t>пгт. Смирных, ул. Ленина, д. 55</t>
  </si>
  <si>
    <t>пгт. Смирных, ул. Чехова, д. 17</t>
  </si>
  <si>
    <t>пгт. Смирных, ул. Чехова, д. 21, лит. А</t>
  </si>
  <si>
    <t>пгт. Смирных, ул. Чехова, д. 25</t>
  </si>
  <si>
    <t>пгт. Смирных, ул. Чехова, д. 27</t>
  </si>
  <si>
    <t>пгт. Смирных, ул. Чехова, д. 11, лит. А</t>
  </si>
  <si>
    <t>пгт. Смирных, ул. Чехова, д. 9</t>
  </si>
  <si>
    <t>пгт. Смирных, ул. Пирогова, д. 14</t>
  </si>
  <si>
    <t>с. Онор, ул. Суворова, д. 2, лит. А</t>
  </si>
  <si>
    <t>пгт. Смирных, ул. Пирогова, д. 16</t>
  </si>
  <si>
    <t>пгт. Смирных, ул. Чехова, д. 1, лит. А</t>
  </si>
  <si>
    <t>пгт. Смирных, ул. Чехова, д. 19</t>
  </si>
  <si>
    <t>пгт. Смирных, ул. Горького, д. 18</t>
  </si>
  <si>
    <t>пгт. Смирных, ул. Западная, д. 4</t>
  </si>
  <si>
    <t>пгт. Смирных, ул. Горького, д. 20</t>
  </si>
  <si>
    <t>пгт. Смирных, ул. Западная, д. 8</t>
  </si>
  <si>
    <t>с. Красногорск, ул. Калинина, д. 15</t>
  </si>
  <si>
    <t>с. Красногорск, ул. Калинина, д. 18</t>
  </si>
  <si>
    <t>с. Красногорск, ул. Карла Маркса, д. 114, лит. А</t>
  </si>
  <si>
    <t>с. Красногорск, ул. Карла Маркса, д. 40</t>
  </si>
  <si>
    <t>с. Красногорск, ул. Карла Маркса, д. 84</t>
  </si>
  <si>
    <t>г. Томари, ул. Садовая, д. 43</t>
  </si>
  <si>
    <t>г. Томари, ул. Ломоносова, д. 4, лит. А</t>
  </si>
  <si>
    <t>г. Томари, ул. Новая, д. 3</t>
  </si>
  <si>
    <t>г. Томари, ул. Садовая, д. 40</t>
  </si>
  <si>
    <t>г. Томари, ул. Юбилейная, д. 3</t>
  </si>
  <si>
    <t>г. Томари, ул. Юбилейная, д. 11</t>
  </si>
  <si>
    <t>г. Томари, ул. Юбилейная, д. 25, лит. А</t>
  </si>
  <si>
    <t>г. Томари, ул. Юбилейная, д. 27</t>
  </si>
  <si>
    <t>с. Красногорск, ул. Карла Маркса, д. 100</t>
  </si>
  <si>
    <t>с. Пензенское, ул. Вокзальная, д. 1</t>
  </si>
  <si>
    <t>с. Черемшанка, ул. Ленина, д. 1, лит. А</t>
  </si>
  <si>
    <t>с. Черемшанка, ул. Ленина, д. 2, лит. А</t>
  </si>
  <si>
    <t>пгт. Тымовское, ул. Библиотечная, ул. 6, лит. А</t>
  </si>
  <si>
    <t>пгт. Тымовское, ул. Харитонова, д. 18</t>
  </si>
  <si>
    <t>пгт. Тымовское, ул. Харитонова, д. 19</t>
  </si>
  <si>
    <t>пгт. Тымовское, ул. Харитонова, д. 20</t>
  </si>
  <si>
    <t>с. Адо-Тымово, ул. Новая, д. 1</t>
  </si>
  <si>
    <t>с. Адо-Тымово, ул. Новая, д. 2</t>
  </si>
  <si>
    <t>с. Адо-Тымово, ул. Новая, д. 3</t>
  </si>
  <si>
    <t>с. Кировское, ул. Центральная, д. 63</t>
  </si>
  <si>
    <t>пгт. Тымовское, ул. Библиотечная, д. 4</t>
  </si>
  <si>
    <t>пгт. Тымовское, ул. Библиотечная, д. 4, лит. А</t>
  </si>
  <si>
    <t>пгт. Тымовское, ул. Красноармейская, д. 12</t>
  </si>
  <si>
    <t>пгт. Тымовское, ул. Кировская, д. 91, лит. А</t>
  </si>
  <si>
    <t>пгт. Тымовское, ул. Новая, д. 10</t>
  </si>
  <si>
    <t>с. Воскресеновка, ул. Школьная, д. 3</t>
  </si>
  <si>
    <t>с. Зональное, ул. Строительная, д. 13</t>
  </si>
  <si>
    <t>г. Углегорск, ул. 8 Марта, д. 22</t>
  </si>
  <si>
    <t>г. Углегорск, ул. Бошняка, д. 8</t>
  </si>
  <si>
    <t>г. Углегорск, ул. Комсомольская, д. 2</t>
  </si>
  <si>
    <t>г. Углегорск, ул. Комсомольская, д. 4</t>
  </si>
  <si>
    <t>г. Углегорск, ул. Пионерская, д. 2</t>
  </si>
  <si>
    <t>г. Углегорск, ул. Победы, д. 140</t>
  </si>
  <si>
    <t>г. Углегорск, ул. Победы, д. 146</t>
  </si>
  <si>
    <t>г. Углегорск, ул. Победы, д. 148</t>
  </si>
  <si>
    <t>г. Углегорск, ул. Победы, д. 150</t>
  </si>
  <si>
    <t>г. Углегорск, ул. Победы, д. 152</t>
  </si>
  <si>
    <t>г. Углегорск, ул. Победы, д. 172</t>
  </si>
  <si>
    <t>г. Углегорск, ул. Приморская, д. 19</t>
  </si>
  <si>
    <t>г. Углегорск, ул. Родниковая, д. 6</t>
  </si>
  <si>
    <t>г. Холмск, ул. Победы, д. 22</t>
  </si>
  <si>
    <t>г. Холмск, ул. Советская, д. 107</t>
  </si>
  <si>
    <t>г. Холмск, ул. Советская, д. 134</t>
  </si>
  <si>
    <t>г. Холмск, ул. Советская, д. 67</t>
  </si>
  <si>
    <t>г. Холмск, ул. Советская, д. 77</t>
  </si>
  <si>
    <t>г. Холмск, ул. Советская, д. 79</t>
  </si>
  <si>
    <t>г. Холмск, ул. Советская, д. 88</t>
  </si>
  <si>
    <t>г. Холмск, ул. Советская, д. 96</t>
  </si>
  <si>
    <t>с. Чехов, ул. Северная, д. 26</t>
  </si>
  <si>
    <t>с. Костромское, ул. Огородная, д. 4, лит. А</t>
  </si>
  <si>
    <t>г. Холмск, ул. Чехова, д. 70</t>
  </si>
  <si>
    <t>г. Холмск, ул. Волкова, д. 20</t>
  </si>
  <si>
    <t>г. Холмск, пер. Восточный, д. 33</t>
  </si>
  <si>
    <t>г. Холмск, ул. Победы, д. 30</t>
  </si>
  <si>
    <t>г. Холмск, ул. 60 лет Октября, д. 5</t>
  </si>
  <si>
    <t>с. Чехов, ул. Северная, д. 38</t>
  </si>
  <si>
    <t>с. Чехов, ул. Парковая, д. 29</t>
  </si>
  <si>
    <t>с. Чехов, ул. Первомайская, д. 4</t>
  </si>
  <si>
    <t>г. Холмск, ул. Комсомольская, д. 8</t>
  </si>
  <si>
    <t>г. Холмск, ул. Школьная, д. 60, лит. А</t>
  </si>
  <si>
    <t>г. Холмск, ул. Героев, д. 1</t>
  </si>
  <si>
    <t>г. Холмск, ул. Героев, д. 7</t>
  </si>
  <si>
    <t>г. Холмск, ул. Героев, д. 9</t>
  </si>
  <si>
    <t>с. Правда, ул. Речная, д. 49</t>
  </si>
  <si>
    <t>с. Правда, ул. Речная, д. 55</t>
  </si>
  <si>
    <t>с. Правда, ул. Школьная, д. 24, лит. А</t>
  </si>
  <si>
    <t>с. Правда, ул. Школьная, д. 26, лит. А</t>
  </si>
  <si>
    <t>г. Шахтерск, ул. Интернациональная, д. 25</t>
  </si>
  <si>
    <t>г. Шахтерск, ул. Интернациональная, д. 7</t>
  </si>
  <si>
    <t>г. Шахтерск, ул. Интернациональная, д. 8</t>
  </si>
  <si>
    <t xml:space="preserve">г. Шахтерск, ул. Ленина, д. 16 </t>
  </si>
  <si>
    <t>г. Шахтерск, ул. Октябрьская, д. 13</t>
  </si>
  <si>
    <t>г. Шахтерск, ул. Мира, д. 24</t>
  </si>
  <si>
    <t>г. Шахтерск, ул. Коммунистическая, д. 5</t>
  </si>
  <si>
    <t>г. Шахтерск, ул. Коммунистическая, д. 6</t>
  </si>
  <si>
    <t>г. Шахтерск, ул. Ленина, д. 17</t>
  </si>
  <si>
    <t>г. Шахтерск, ул. Мира, д. 1</t>
  </si>
  <si>
    <t>г. Шахтерск, ул. Мира, д. 12, лит. А</t>
  </si>
  <si>
    <t>г. Шахтерск, ул. Мира, д. 13</t>
  </si>
  <si>
    <t>г. Шахтерск, ул. Мира, д. 21</t>
  </si>
  <si>
    <t>г. Шахтерск, ул. Мира, д. 23</t>
  </si>
  <si>
    <t>г. Шахтерск, ул.Интернациональная, д. 2</t>
  </si>
  <si>
    <t>г. Шахтерск, ул.Интернациональная, д. 18</t>
  </si>
  <si>
    <t>г. Шахтерск, ул. Кирпичная, д. 23</t>
  </si>
  <si>
    <t>г. Шахтерск, ул. Кирпичная, д. 27</t>
  </si>
  <si>
    <t>г. Шахтерск, ул. Ленина, д. 14</t>
  </si>
  <si>
    <t>г. Шахтерск, ул. Ленина, д. 20</t>
  </si>
  <si>
    <t>пгт. Южно-Курильск, пр-кт Курильский, д. 15</t>
  </si>
  <si>
    <t>пгт. Южно-Курильск, ул. 60 лет ВЛКСМ, д. 5</t>
  </si>
  <si>
    <t>пгт. Южно-Курильск, ул. 60 лет ВЛКСМ, д. 7</t>
  </si>
  <si>
    <t>пгт. Южно-Курильск, пр-т Курильский, д.7</t>
  </si>
  <si>
    <t>пгт. Южно-Курильск, ул. Победы, д.17</t>
  </si>
  <si>
    <t>с. Крабозаводское, ул. Строительная, д. 1</t>
  </si>
  <si>
    <t>с. Малокурильское, ул. Терешкова, д. 2</t>
  </si>
  <si>
    <t>с. Малокурильское, ул. Черемушки, д. 12, лит. А</t>
  </si>
  <si>
    <t>с. Малокурильское, ул. Строительная, д. 30</t>
  </si>
  <si>
    <t>г. Южно-Сахалинск, б-р. им Анкудинова Федора Степановича, д. 11</t>
  </si>
  <si>
    <t>г. Южно-Сахалинск, б-р. им Анкудинова Федора Степановича, д. 9</t>
  </si>
  <si>
    <t>г. Южно-Сахалинск, п/р. Луговое, ул. 2-я Железнодорожная, д. 37</t>
  </si>
  <si>
    <t>г. Южно-Сахалинск, п/р. Луговое, ул. 2-я Набережная, д. 74</t>
  </si>
  <si>
    <t>г. Южно-Сахалинск, п/р. Луговое, ул. Дружбы, д. 1</t>
  </si>
  <si>
    <t>г. Южно-Сахалинск, п/р. Луговое, ул. Дружбы, д. 38</t>
  </si>
  <si>
    <t>г. Южно-Сахалинск, п/р. Луговое, ул. Дружбы, д. 93</t>
  </si>
  <si>
    <t>г. Южно-Сахалинск, п/р. Луговое, ул. Дружбы, д. 95</t>
  </si>
  <si>
    <t>г. Южно-Сахалинск, п/р. Луговое, ул. Дружбы, д. 96</t>
  </si>
  <si>
    <t>г. Южно-Сахалинск, п/р. Луговое, ул. Дружбы, д. 97</t>
  </si>
  <si>
    <t>г. Южно-Сахалинск, п/р. Луговое, ул. Дружбы, д. 98</t>
  </si>
  <si>
    <t>г. Южно-Сахалинск, п/р. Луговое, ул. Дружбы, д. 99</t>
  </si>
  <si>
    <t>г. Южно-Сахалинск, п/р. Луговое, ул. имени В.Гайдука, д. 1, лит. В</t>
  </si>
  <si>
    <t>г. Южно-Сахалинск, п/р. Луговое, ул. имени В.Гайдука, д. 50</t>
  </si>
  <si>
    <t>г. Южно-Сахалинск, п/р. Луговое, ул. Комарова, д. 3</t>
  </si>
  <si>
    <t>г. Южно-Сахалинск, п/р. Ново-Александровск, пер. Горького, д. 10</t>
  </si>
  <si>
    <t>г. Южно-Сахалинск, п/р. Ново-Александровск, пер. Горького, д. 10, лит. А</t>
  </si>
  <si>
    <t>г. Южно-Сахалинск, п/р. Ново-Александровск, пер. Горького, д. 12</t>
  </si>
  <si>
    <t>г. Южно-Сахалинск, п/р. Ново-Александровск, пер. Горького, д. 18</t>
  </si>
  <si>
    <t>г. Южно-Сахалинск, п/р. Ново-Александровск, пер. Железнодорожный, д. 13, лит. А</t>
  </si>
  <si>
    <t>г. Южно-Сахалинск, п/р. Ново-Александровск, пер. Железнодорожный, д. 2, лит. А</t>
  </si>
  <si>
    <t>г. Южно-Сахалинск, п/р. Ново-Александровск, пер. Железнодорожный, д. 3, лит. В</t>
  </si>
  <si>
    <t>г. Южно-Сахалинск, п/р. Ново-Александровск, пер. Мичурина, д. 5</t>
  </si>
  <si>
    <t>г. Южно-Сахалинск, п/р. Ново-Александровск, ул. 2-я Красносельская, д. 32</t>
  </si>
  <si>
    <t>г. Южно-Сахалинск, п/р. Ново-Александровск, ул. 30 лет Победы, д. 10</t>
  </si>
  <si>
    <t>г. Южно-Сахалинск, п/р. Ново-Александровск, ул. 30 лет Победы, д. 10, лит. А</t>
  </si>
  <si>
    <t>г. Южно-Сахалинск, п/р. Ново-Александровск, ул. 30 лет Победы, д. 5, лит. А</t>
  </si>
  <si>
    <t>г. Южно-Сахалинск, п/р. Ново-Александровск, ул. 30 лет Победы, д. 5, лит. В</t>
  </si>
  <si>
    <t>г. Южно-Сахалинск, п/р. Ново-Александровск, ул. 30 лет Победы, д. 7</t>
  </si>
  <si>
    <t>г. Южно-Сахалинск, п/р. Ново-Александровск, ул. Восточная, д. 17</t>
  </si>
  <si>
    <t>г. Южно-Сахалинск, п/р. Ново-Александровск, ул. Восточная, д. 26</t>
  </si>
  <si>
    <t>г. Южно-Сахалинск, п/р. Ново-Александровск, ул. Науки, д. 5</t>
  </si>
  <si>
    <t>г. Южно-Сахалинск, п/р. Ново-Александровск, ул. Советская, д. 1</t>
  </si>
  <si>
    <t>г. Южно-Сахалинск, пер. Ангарский, д. 4</t>
  </si>
  <si>
    <t>г. Южно-Сахалинск, пер. Ангарский, д. 6</t>
  </si>
  <si>
    <t>г. Южно-Сахалинск, пл. р-н Хомутово, ул. 3-я Набережная, д. 8</t>
  </si>
  <si>
    <t>г. Южно-Сахалинск, пр. Мира, д. 284, лит. А</t>
  </si>
  <si>
    <t>г. Южно-Сахалинск, пр-кт. Мира, д. 176</t>
  </si>
  <si>
    <t>г. Южно-Сахалинск, пр-кт. Мира, д. 182</t>
  </si>
  <si>
    <t>г. Южно-Сахалинск, пр-кт. Мира, д. 197</t>
  </si>
  <si>
    <t>г. Южно-Сахалинск, пр-кт. Мира, д. 197, лит. А</t>
  </si>
  <si>
    <t>г. Южно-Сахалинск, пр-кт. Мира, д. 243</t>
  </si>
  <si>
    <t>г. Южно-Сахалинск, пр-кт. Мира, д. 249</t>
  </si>
  <si>
    <t>г. Южно-Сахалинск, пр-кт. Мира, д. 280</t>
  </si>
  <si>
    <t>г. Южно-Сахалинск, пр-кт. Мира, д. 286, лит. А</t>
  </si>
  <si>
    <t>г. Южно-Сахалинск, пр-кт. Мира, д. 4</t>
  </si>
  <si>
    <t>г. Южно-Сахалинск, пр-кт. Мира, д. 60</t>
  </si>
  <si>
    <t>г. Южно-Сахалинск, пр-кт. Победы, д. 12</t>
  </si>
  <si>
    <t>г. Южно-Сахалинск, пр-кт. Победы, д. 14</t>
  </si>
  <si>
    <t>г. Южно-Сахалинск, пр-кт. Победы, д. 15</t>
  </si>
  <si>
    <t>г. Южно-Сахалинск, пр-кт. Победы, д. 29</t>
  </si>
  <si>
    <t>г. Южно-Сахалинск, пр-кт. Победы, д. 31</t>
  </si>
  <si>
    <t>г. Южно-Сахалинск, пр-кт. Победы, д. 53</t>
  </si>
  <si>
    <t>г. Южно-Сахалинск, пр-кт. Победы, д. 7, лит. А</t>
  </si>
  <si>
    <t>г. Южно-Сахалинск, пр-кт. Победы, д. 90</t>
  </si>
  <si>
    <t>г. Южно-Сахалинск, проезд. Спортивный, д. 17, лит. А</t>
  </si>
  <si>
    <t>г. Южно-Сахалинск, ул. Авиационная, д. 76</t>
  </si>
  <si>
    <t>г. Южно-Сахалинск, ул. Авиационная, д. 78</t>
  </si>
  <si>
    <t>г. Южно-Сахалинск, ул. Авиационная, д. 88</t>
  </si>
  <si>
    <t>г. Южно-Сахалинск, ул. Амурская, д. 1</t>
  </si>
  <si>
    <t>г. Южно-Сахалинск, ул. Амурская, д. 159</t>
  </si>
  <si>
    <t>г. Южно-Сахалинск, ул. Амурская, д. 184</t>
  </si>
  <si>
    <t>г. Южно-Сахалинск, ул. Амурская, д. 4</t>
  </si>
  <si>
    <t>г. Южно-Сахалинск, ул. Бумажная, д. 24, лит. А</t>
  </si>
  <si>
    <t>г. Южно-Сахалинск, ул. Вокзальная, д. 72</t>
  </si>
  <si>
    <t>г. Южно-Сахалинск, ул. Вокзальная, д. 9, лит. А</t>
  </si>
  <si>
    <t>г. Южно-Сахалинск, ул. Емельянова А.О., д. 33</t>
  </si>
  <si>
    <t>г. Южно-Сахалинск, ул. Емельянова А.О., д. 33, лит. Б</t>
  </si>
  <si>
    <t>г. Южно-Сахалинск, ул. Емельянова А.О., д. 41, лит. А</t>
  </si>
  <si>
    <t>г. Южно-Сахалинск, ул. Железнодорожная, д. 16</t>
  </si>
  <si>
    <t>г. Южно-Сахалинск, ул. Железнодорожная, д. 18</t>
  </si>
  <si>
    <t>г. Южно-Сахалинск, ул. Железнодорожная, д. 18, лит. А</t>
  </si>
  <si>
    <t>г. Южно-Сахалинск, ул. Железнодорожная, д. 91, лит. А</t>
  </si>
  <si>
    <t>г. Южно-Сахалинск, ул. Им Космонавта Поповича, д. 22, лит. А</t>
  </si>
  <si>
    <t>г. Южно-Сахалинск, ул. Им Космонавта Поповича, д. 24, лит. А</t>
  </si>
  <si>
    <t>г. Южно-Сахалинск, ул. Им Космонавта Поповича, д. 51</t>
  </si>
  <si>
    <t>г. Южно-Сахалинск, ул. Имени П.А.Леонова, д. 42</t>
  </si>
  <si>
    <t>г. Южно-Сахалинск, ул. имени Ф.Э.Дзержинского, д. 12</t>
  </si>
  <si>
    <t>г. Южно-Сахалинск, ул. имени Ф.Э.Дзержинского, д. 44</t>
  </si>
  <si>
    <t>г. Южно-Сахалинск, ул. Комсомольская, д. 215</t>
  </si>
  <si>
    <t>г. Южно-Сахалинск, ул. Комсомольская, д. 225</t>
  </si>
  <si>
    <t>г. Южно-Сахалинск, ул. Комсомольская, д. 235</t>
  </si>
  <si>
    <t>г. Южно-Сахалинск, ул. Комсомольская, д. 239</t>
  </si>
  <si>
    <t>г. Южно-Сахалинск, ул. Крюкова Д.Н., д. 35</t>
  </si>
  <si>
    <t>г. Южно-Сахалинск, ул. Курильская, д. 14</t>
  </si>
  <si>
    <t>г. Южно-Сахалинск, ул. Курильская, д. 6</t>
  </si>
  <si>
    <t>г. Южно-Сахалинск, ул. Курильская, д. 7</t>
  </si>
  <si>
    <t>г. Южно-Сахалинск, ул. Ленина, д. 166</t>
  </si>
  <si>
    <t>г. Южно-Сахалинск, ул. Ленина, д. 198</t>
  </si>
  <si>
    <t>г. Южно-Сахалинск, ул. Ленина, д. 283</t>
  </si>
  <si>
    <t>г. Южно-Сахалинск, ул. Ленина, д. 287</t>
  </si>
  <si>
    <t>г. Южно-Сахалинск, ул. Ленина, д. 306</t>
  </si>
  <si>
    <t>г. Южно-Сахалинск, ул. Ленина, д. 489, лит. А</t>
  </si>
  <si>
    <t>г. Южно-Сахалинск, ул. Ленина, д. 493</t>
  </si>
  <si>
    <t>г. Южно-Сахалинск, ул. Милицейская, д. 11</t>
  </si>
  <si>
    <t>г. Южно-Сахалинск, ул. Милицейская, д. 13, лит. А</t>
  </si>
  <si>
    <t>г. Южно-Сахалинск, ул. Невельская, д. 13</t>
  </si>
  <si>
    <t>г. Южно-Сахалинск, ул. Невельская, д. 46</t>
  </si>
  <si>
    <t>г. Южно-Сахалинск, ул. Пограничная, д. 20</t>
  </si>
  <si>
    <t>г. Южно-Сахалинск, ул. Пограничная, д. 22</t>
  </si>
  <si>
    <t>г. Южно-Сахалинск, ул. Пограничная, д. 63</t>
  </si>
  <si>
    <t>г. Южно-Сахалинск, ул. Пуркаева М.А., д. 80</t>
  </si>
  <si>
    <t>г. Южно-Сахалинск, ул. Пуркаева М.А., д. 82</t>
  </si>
  <si>
    <t>г. Южно-Сахалинск, ул. Пушкина, д. 131</t>
  </si>
  <si>
    <t>г. Южно-Сахалинск, ул. Пушкина, д. 133</t>
  </si>
  <si>
    <t>г. Южно-Сахалинск, ул. Сахалинская, д. 1</t>
  </si>
  <si>
    <t>г. Южно-Сахалинск, ул. Сахалинская, д. 106</t>
  </si>
  <si>
    <t>г. Южно-Сахалинск, ул. Сахалинская, д. 15</t>
  </si>
  <si>
    <t>г. Южно-Сахалинск, ул. Сахалинская, д. 36</t>
  </si>
  <si>
    <t>г. Южно-Сахалинск, ул. Сахалинская, д. 37</t>
  </si>
  <si>
    <t>г. Южно-Сахалинск, ул. Сахалинская, д. 49</t>
  </si>
  <si>
    <t>г. Южно-Сахалинск, ул. Сахалинская, д. 51</t>
  </si>
  <si>
    <t>г. Южно-Сахалинск, ул. Сахалинская, д. 8</t>
  </si>
  <si>
    <t>г. Южно-Сахалинск, ул. Тихоокеанская, д. 27</t>
  </si>
  <si>
    <t>г. Южно-Сахалинск, ул. Тихоокеанская, д. 34</t>
  </si>
  <si>
    <t>г. Южно-Сахалинск, ул. Тихоокеанская, д. 36</t>
  </si>
  <si>
    <t>г. Южно-Сахалинск, ул. Украинская, д. 11</t>
  </si>
  <si>
    <t>г. Южно-Сахалинск, ул. Украинская, д. 22, лит. А</t>
  </si>
  <si>
    <t>г. Южно-Сахалинск, ул. Украинская, д. 3</t>
  </si>
  <si>
    <t>г. Южно-Сахалинск, ул. Украинская, д. 9</t>
  </si>
  <si>
    <t>г. Южно-Сахалинск, ул. Фабричная, д. 11</t>
  </si>
  <si>
    <t>г. Южно-Сахалинск, ул. Фабричная, д. 20</t>
  </si>
  <si>
    <t>г. Южно-Сахалинск, ул. Физкультурная, д. 115</t>
  </si>
  <si>
    <t>г. Южно-Сахалинск, ул. Физкультурная, д. 120</t>
  </si>
  <si>
    <t>г. Южно-Сахалинск, ул. Физкультурная, д. 38</t>
  </si>
  <si>
    <t>г. Южно-Сахалинск, ул. Физкультурная, д. 66</t>
  </si>
  <si>
    <t>г. Южно-Сахалинск, ул. Физкульурная, д. 124, лит. Б</t>
  </si>
  <si>
    <t>г. Южно-Сахалинск, ул. Чехова, д. 2, лит. А</t>
  </si>
  <si>
    <t>г. Южно-Сахалинск, ул. Чехова, д. 29</t>
  </si>
  <si>
    <t>с. Березняки, ул. Зеленая, д. 26, лит. А</t>
  </si>
  <si>
    <t>с. Березняки, ул. Крайняя, д. 4</t>
  </si>
  <si>
    <t>с. Дальнее, ул. Студенческая, д. 11</t>
  </si>
  <si>
    <t>с. Дальнее, ул. Студенческая, д. 9</t>
  </si>
  <si>
    <t>с. Елочки, ул. Центральная, д. 1</t>
  </si>
  <si>
    <t>Выполнено работ                                                                                  (нарастающим итогом с начала года)</t>
  </si>
  <si>
    <t>электр</t>
  </si>
  <si>
    <t>тепло</t>
  </si>
  <si>
    <t>вода</t>
  </si>
  <si>
    <t>крыша</t>
  </si>
  <si>
    <t>фасад</t>
  </si>
  <si>
    <t>водоотв</t>
  </si>
  <si>
    <t>фундамент</t>
  </si>
  <si>
    <t>подвал</t>
  </si>
  <si>
    <t>План, шт.</t>
  </si>
  <si>
    <t>Факт, шт.</t>
  </si>
  <si>
    <t>Факт выполнения, тыс.руб</t>
  </si>
  <si>
    <t>Факт оплаты, тыс.руб</t>
  </si>
  <si>
    <t>г. Александровск-Сахалинский, ул. Красноармейская, д. 34</t>
  </si>
  <si>
    <t>г. Александровск-Сахалинский, ул. Ленина, д. 13</t>
  </si>
  <si>
    <t>г. Александровск-Сахалинский, ул. Советская, д. 32</t>
  </si>
  <si>
    <t>с. Триоцкое, ул. Гвардейская, д. 10</t>
  </si>
  <si>
    <t>с. Триоцкое, ул. Гвардейская, д. 8</t>
  </si>
  <si>
    <t>с. Троицкое, ул. Центральная, д. 40</t>
  </si>
  <si>
    <t>Стройконтроль</t>
  </si>
  <si>
    <t>Крыша</t>
  </si>
  <si>
    <t>ПСД на 2017 год</t>
  </si>
  <si>
    <t>Фасад</t>
  </si>
  <si>
    <t>г. Долинск, ул. Комсомольская, д. 40, лит. А</t>
  </si>
  <si>
    <t>г. Долинск, ул. Октябрьская, д. 9</t>
  </si>
  <si>
    <t>с. Сокол, ул. Совхозная, д. 1</t>
  </si>
  <si>
    <t>Подвал</t>
  </si>
  <si>
    <t>г. Корсаков, ул. 2-й микрорайон, д. 1</t>
  </si>
  <si>
    <t>с. Чапаево, ул. Центральная, д. 1</t>
  </si>
  <si>
    <t>Фундамент</t>
  </si>
  <si>
    <t>с. Рейдово, ул. Зеленая, д. 6</t>
  </si>
  <si>
    <t>с. Китовое, ул. Молодежная, д. 3</t>
  </si>
  <si>
    <t>с. Китовое, ул. Молодежная, д. 4</t>
  </si>
  <si>
    <t>г. Макаров, ул. Хабаровская, д. 25</t>
  </si>
  <si>
    <t>г. Оха, ул. 60 лет СССР, д. 34</t>
  </si>
  <si>
    <t>с. Москальво, ул. Советская, д. 12</t>
  </si>
  <si>
    <t>Газоснабжение</t>
  </si>
  <si>
    <t>г. Северо-Курильск, ул. Шутова,  д. 14, лит. А</t>
  </si>
  <si>
    <t>пгт. Смирных, ул. 60 лет СССР, д. 20</t>
  </si>
  <si>
    <t>пгт. Смирных, ул. 60 лет СССР, д. 8</t>
  </si>
  <si>
    <t>пгт. Смирных, ул. 8 Марта, д. 37, лит. А</t>
  </si>
  <si>
    <t>пгт. Смирных, ул. Горького, д. 14</t>
  </si>
  <si>
    <t>пгт. Смирных, ул. Горького, д. 16</t>
  </si>
  <si>
    <t>пгт. Смирных, ул. Полевая, д. 1, лит. А</t>
  </si>
  <si>
    <t>пгт. Смирных, ул. Центральная, д. 31</t>
  </si>
  <si>
    <t>пгт. Смирных, ул. Чехова, д. 21</t>
  </si>
  <si>
    <t>пгт. Смирных, ул. Чехова, д. 31</t>
  </si>
  <si>
    <t>г. Томари, ул. Юбилейная, д. 19</t>
  </si>
  <si>
    <t>с. Ильинское, ул. Лесная, д. 2</t>
  </si>
  <si>
    <t>с. Ильинское, ул. Советская, д. 85</t>
  </si>
  <si>
    <t>с. Ильинское, ул. Советская, д. 87</t>
  </si>
  <si>
    <t>с. Красногорск, ул. Ушакова, д. 18</t>
  </si>
  <si>
    <t>с. Красногорск, ул. Ушакова, д. 20</t>
  </si>
  <si>
    <t>с. Черемшанка, ул. Гагарина, д. 12</t>
  </si>
  <si>
    <t>с. Черемшанка, ул. Ленина, д. 2</t>
  </si>
  <si>
    <t>Макаровский район</t>
  </si>
  <si>
    <t>пгт. Тымовское, ул. Кировская, д. 85, лит. А</t>
  </si>
  <si>
    <t>с. Кировское, ул. Речная, д. 3</t>
  </si>
  <si>
    <t>с. Красная Тымь, пер. Школьный, д. 2</t>
  </si>
  <si>
    <t>с. Кировское, ул. Центральная, д. 65</t>
  </si>
  <si>
    <t>г. Углегорск, ул. Портовая, д. 12</t>
  </si>
  <si>
    <t>г. Холмск, ул. Первомайская, д. 11</t>
  </si>
  <si>
    <t>г. Холмск, ул. Первомайская, д. 5</t>
  </si>
  <si>
    <t>г. Шахтерск, ул. Интернациональная, д. 9</t>
  </si>
  <si>
    <t>г. Шахтерск, ул. Коммунистическая, д. 9</t>
  </si>
  <si>
    <t>г. Шахтерск, ул. Кузьменко, д. 1</t>
  </si>
  <si>
    <t>г. Шахтерск, ул. Мира, д. 11</t>
  </si>
  <si>
    <t>г. Шахтерск, ул. Мира, д. 12</t>
  </si>
  <si>
    <t>г. Шахтерск, ул. Мира, д. 18</t>
  </si>
  <si>
    <t>г. Шахтерск, ул. Мира, д. 5</t>
  </si>
  <si>
    <t>г. Шахтерск, ул. Мира, д. 6</t>
  </si>
  <si>
    <t>Стройонтроль</t>
  </si>
  <si>
    <t>г. Южно-Сахалинск, п/р. Ново-Александровск, пер. Железнодорожный, д. 4, лит. А</t>
  </si>
  <si>
    <t>г. Южно-Сахалинск, п/р. Ново-Александровск, ул. 30 лет Победы, д. 7, лит. А</t>
  </si>
  <si>
    <t>г. Южно-Сахалинск, ул. Бумажная, д. 22, лит. Б</t>
  </si>
  <si>
    <t>г. Южно-Сахалинск, ул. Имени Антона Буюклы, д. 85</t>
  </si>
  <si>
    <t>г. Южно-Сахалинск, ул. Комсомольская, д. 255</t>
  </si>
  <si>
    <t>г. Южно-Сахалинск, ул. Курильская, д. 55</t>
  </si>
  <si>
    <t>г. Южно-Сахалинск, ул. Сахалинская, д. 5</t>
  </si>
  <si>
    <t>с. Березняки, ул. Зеленая, д. 4</t>
  </si>
  <si>
    <t>г. Поронайск, ул. Победы, д. 86</t>
  </si>
  <si>
    <t>г. Холмск, ул. Советская, д. 132</t>
  </si>
  <si>
    <t>111-СМР/2015</t>
  </si>
  <si>
    <t>113-СМР/2015</t>
  </si>
  <si>
    <t>24-ПД/2015</t>
  </si>
  <si>
    <t>50-ПСД/2015</t>
  </si>
  <si>
    <t>26-ПД/2015</t>
  </si>
  <si>
    <t>33-ПД/2015</t>
  </si>
  <si>
    <t>газ</t>
  </si>
  <si>
    <t>стройконтроль</t>
  </si>
  <si>
    <t>Итого по  МО</t>
  </si>
  <si>
    <t>116-СМР/2015</t>
  </si>
  <si>
    <t>Контроль</t>
  </si>
  <si>
    <t>г. Шахтерск, ул. Мира, д. 43</t>
  </si>
  <si>
    <t>114-СМР/2015</t>
  </si>
  <si>
    <t>38-ПД/2015</t>
  </si>
  <si>
    <t>3-СМР/2016</t>
  </si>
  <si>
    <t>4-СМР/2016</t>
  </si>
  <si>
    <t>43-ПД/2015</t>
  </si>
  <si>
    <t>19/3-СМР/2016</t>
  </si>
  <si>
    <t>123/2-СМР/2015</t>
  </si>
  <si>
    <t>112-СМР/2015</t>
  </si>
  <si>
    <t>123/1-СМР/2015</t>
  </si>
  <si>
    <t>123/3-СМР/2015</t>
  </si>
  <si>
    <t>19/1-СМР/2016</t>
  </si>
  <si>
    <t>29-ПД/2015</t>
  </si>
  <si>
    <t>28-ПД/2015</t>
  </si>
  <si>
    <t>34-ПД/2015</t>
  </si>
  <si>
    <t>39-ПД/2015</t>
  </si>
  <si>
    <t>5-СМР/2016</t>
  </si>
  <si>
    <t>48-ПД/2015</t>
  </si>
  <si>
    <t>33-ПД/2015; 47-ПД/2015</t>
  </si>
  <si>
    <t>47-ПД/2015</t>
  </si>
  <si>
    <t>34-ПД/2015,44-ПД/2015</t>
  </si>
  <si>
    <t>44-ПД/2015</t>
  </si>
  <si>
    <t>53-ПД/2015</t>
  </si>
  <si>
    <t>39-ПД/2015, 53-ПД/2015</t>
  </si>
  <si>
    <t>31-ПД/2015</t>
  </si>
  <si>
    <t>27/2-СМР/2016</t>
  </si>
  <si>
    <t>16-СМР/2016</t>
  </si>
  <si>
    <t>15-СМР/2016</t>
  </si>
  <si>
    <t>19/2-СМР/2016</t>
  </si>
  <si>
    <t>21-СМР/2016</t>
  </si>
  <si>
    <t>20-СМР/2016</t>
  </si>
  <si>
    <t>46-ПД/2015</t>
  </si>
  <si>
    <t>с. Чехов, ул. Первомайская, д. 1</t>
  </si>
  <si>
    <t xml:space="preserve">19/1-СМР/2016 </t>
  </si>
  <si>
    <t>64/4-СМР/2015</t>
  </si>
  <si>
    <t>7-СМР/2016</t>
  </si>
  <si>
    <t>49-ПД/2015</t>
  </si>
  <si>
    <t>13/3-СМР/2016</t>
  </si>
  <si>
    <t>10-СМР/2016</t>
  </si>
  <si>
    <t>1-СМР/2016</t>
  </si>
  <si>
    <t>18-СМР/2016</t>
  </si>
  <si>
    <t>27/3-СМР/2016</t>
  </si>
  <si>
    <t>50/1-СМР/2015</t>
  </si>
  <si>
    <t>28/1-СМР/2016</t>
  </si>
  <si>
    <t>41-СМР/2016</t>
  </si>
  <si>
    <t>17-СМР/2015</t>
  </si>
  <si>
    <t>25-СМР/2016</t>
  </si>
  <si>
    <t>25-СМР/2015</t>
  </si>
  <si>
    <t>38/2-СМР/2016</t>
  </si>
  <si>
    <t>30/3-СМР/2016</t>
  </si>
  <si>
    <t>Итого по видам работ</t>
  </si>
  <si>
    <t>% освоения</t>
  </si>
  <si>
    <t>% выполнения по видам работ</t>
  </si>
  <si>
    <t>Стоимость по краткосрочному плану 2016 года от 17.03.2016г.</t>
  </si>
  <si>
    <t>14/1-СМР/2015</t>
  </si>
  <si>
    <t>51-СМР/2016</t>
  </si>
  <si>
    <t>63-СМР/2015</t>
  </si>
  <si>
    <t>56-СМР/2016</t>
  </si>
  <si>
    <t>19/4-СМР/2016</t>
  </si>
  <si>
    <t>2-СМР/2016</t>
  </si>
  <si>
    <t>32-СМР/2016</t>
  </si>
  <si>
    <t>33-СМР/2016</t>
  </si>
  <si>
    <t>9-СМР/2016</t>
  </si>
  <si>
    <t>40-СМР/2016</t>
  </si>
  <si>
    <t>30/1-СМР/2016</t>
  </si>
  <si>
    <t>30/2-СМР/2016</t>
  </si>
  <si>
    <t>Лимит по средствам собственников</t>
  </si>
  <si>
    <t>63-ПД/2016</t>
  </si>
  <si>
    <t>31/2-СМР/2015</t>
  </si>
  <si>
    <t>47-СМР/2016</t>
  </si>
  <si>
    <t>35-СМР/2016</t>
  </si>
  <si>
    <t>13/1-СМР/2016</t>
  </si>
  <si>
    <t>14/2-СМР/2016</t>
  </si>
  <si>
    <t>63-СМР/2016</t>
  </si>
  <si>
    <t>Остаток с 2015 года</t>
  </si>
  <si>
    <t>Использовано по КП 2015г.</t>
  </si>
  <si>
    <t>54-СМР/2016</t>
  </si>
  <si>
    <t>53-СМР/2016</t>
  </si>
  <si>
    <t>61-СМР/2016</t>
  </si>
  <si>
    <t>50-СМР/2016</t>
  </si>
  <si>
    <t>46-СМР/2016</t>
  </si>
  <si>
    <t>45-СМР/2016</t>
  </si>
  <si>
    <t>27/1-СМР2016</t>
  </si>
  <si>
    <t>38/1-СМР/2016</t>
  </si>
  <si>
    <t>70/3-СМР/2016</t>
  </si>
  <si>
    <t xml:space="preserve">Итого выполненно </t>
  </si>
  <si>
    <t xml:space="preserve">Размер средств направленных на капитальный ремонт </t>
  </si>
  <si>
    <t>Оплата работ и услуг в отчетном периоде</t>
  </si>
  <si>
    <t>Договор</t>
  </si>
  <si>
    <t>местный   бюджет</t>
  </si>
  <si>
    <t>55-СМР/2016</t>
  </si>
  <si>
    <t>13/2-СМР/2016</t>
  </si>
  <si>
    <t>89/1-СМР/2016</t>
  </si>
  <si>
    <t>89/2-СМР/2016</t>
  </si>
  <si>
    <t>28/2-СМР/2016</t>
  </si>
  <si>
    <t>45-ПД/2015</t>
  </si>
  <si>
    <t>34-СМР/2016</t>
  </si>
  <si>
    <t>36-СМР/2016</t>
  </si>
  <si>
    <t>№ 87-СМР/2016</t>
  </si>
  <si>
    <t>90/1-СМР/2016</t>
  </si>
  <si>
    <t>64/1-СМР/2016</t>
  </si>
  <si>
    <t>64/2-СМР/2016</t>
  </si>
  <si>
    <t>26-СМР/2016</t>
  </si>
  <si>
    <t>66-СМР/2016</t>
  </si>
  <si>
    <t>60-СМР/2016</t>
  </si>
  <si>
    <t>90/2-СМР/2016</t>
  </si>
  <si>
    <t>57-ПД/2015</t>
  </si>
  <si>
    <t>58-СМР/2016</t>
  </si>
  <si>
    <t>57-СМР/2016</t>
  </si>
  <si>
    <t>69/1-СМР/2016</t>
  </si>
  <si>
    <t>69/2-СМР/2016</t>
  </si>
  <si>
    <t>97/1-СМР/2016</t>
  </si>
  <si>
    <t>73-СМР/2016</t>
  </si>
  <si>
    <t>97/2-СМР/2016</t>
  </si>
  <si>
    <t>75/2-СМР/2016</t>
  </si>
  <si>
    <t>26-ПД/2015 по другому %</t>
  </si>
  <si>
    <t>51-ПД/2015</t>
  </si>
  <si>
    <t>52-ПД/2015</t>
  </si>
  <si>
    <t>62-ПД/2015</t>
  </si>
  <si>
    <t>90/3-СМР/2016</t>
  </si>
  <si>
    <t>65-СМР/2016</t>
  </si>
  <si>
    <t>91-СМР/2016</t>
  </si>
  <si>
    <t>71-СМР/2016</t>
  </si>
  <si>
    <t>70/1-СМР/2016</t>
  </si>
  <si>
    <t>70/2-СМР/2016</t>
  </si>
  <si>
    <t>78-СМР/2016</t>
  </si>
  <si>
    <t>№ 83-СМР/2016</t>
  </si>
  <si>
    <t>49-СМР/2016</t>
  </si>
  <si>
    <t>44/2-СМР/2016</t>
  </si>
  <si>
    <t>101/1-СМР/2016</t>
  </si>
  <si>
    <t>72/1-СМР/2016</t>
  </si>
  <si>
    <t>72/2-СМР/2016</t>
  </si>
  <si>
    <t>75/1-СМР/2016</t>
  </si>
  <si>
    <t>39-СМР/2016</t>
  </si>
  <si>
    <t>дата завершения работ</t>
  </si>
  <si>
    <t>Горячее водоснабжение</t>
  </si>
  <si>
    <t>74/2-СМР/2016</t>
  </si>
  <si>
    <t>68-СМР/2016</t>
  </si>
  <si>
    <t>74/1-СМР/2016</t>
  </si>
  <si>
    <t>20.07.16</t>
  </si>
  <si>
    <t>82-СМР/2016</t>
  </si>
  <si>
    <t>29.07.16</t>
  </si>
  <si>
    <t>25.07.16</t>
  </si>
  <si>
    <t>Собрано на 01.01.2016г.</t>
  </si>
  <si>
    <t>80% от 2016 года</t>
  </si>
  <si>
    <t>101/3-СМР/2016</t>
  </si>
  <si>
    <t>27/4-СМР/2016</t>
  </si>
  <si>
    <t>с. Мгачи, ул. Первомайская, д. 52</t>
  </si>
  <si>
    <t>102/2-СМР/2016</t>
  </si>
  <si>
    <t>37/1-СМР2016</t>
  </si>
  <si>
    <t>133-СМР/2016</t>
  </si>
  <si>
    <t>05.08.16</t>
  </si>
  <si>
    <t>111-СМР/2016</t>
  </si>
  <si>
    <t>55-ПД/2015</t>
  </si>
  <si>
    <t>42/2-СМР/2016</t>
  </si>
  <si>
    <t>18.07.16</t>
  </si>
  <si>
    <t>136-СМР/2016</t>
  </si>
  <si>
    <t>17.08.16</t>
  </si>
  <si>
    <t>28/2-смр/2016</t>
  </si>
  <si>
    <t>№ 86-СМР/2016</t>
  </si>
  <si>
    <t>96-СМР/2016</t>
  </si>
  <si>
    <t>59-СМР/2016</t>
  </si>
  <si>
    <t>107-СМР/2016</t>
  </si>
  <si>
    <t>15.08.16</t>
  </si>
  <si>
    <t>134-СМР/2016</t>
  </si>
  <si>
    <t>10.08.16</t>
  </si>
  <si>
    <t>42/1-СМР/2016</t>
  </si>
  <si>
    <t>17.07.16</t>
  </si>
  <si>
    <t>48-СМР/2016</t>
  </si>
  <si>
    <t>21.07.16</t>
  </si>
  <si>
    <t>№117-СМР/2016</t>
  </si>
  <si>
    <t>142-СМР/2016</t>
  </si>
  <si>
    <t>84-СМР/2016</t>
  </si>
  <si>
    <t>85-СМР/2016</t>
  </si>
  <si>
    <t>64-ПД/2016 (тепло)</t>
  </si>
  <si>
    <t xml:space="preserve">144-СМР/2016 </t>
  </si>
  <si>
    <t>118-СМР/2016</t>
  </si>
  <si>
    <t>06.09.16</t>
  </si>
  <si>
    <t>153-СМР/2016</t>
  </si>
  <si>
    <t>г. Александровск-Сахалинский, ул. Ленина, д. 2</t>
  </si>
  <si>
    <t>169-СМР/2016</t>
  </si>
  <si>
    <t>139-СМР/2016</t>
  </si>
  <si>
    <t>10.09.2016</t>
  </si>
  <si>
    <t>1-СК/2016</t>
  </si>
  <si>
    <t>160-СМР/2016</t>
  </si>
  <si>
    <t>2-СМР</t>
  </si>
  <si>
    <t>146-СМР/2016</t>
  </si>
  <si>
    <t>01.09.2016</t>
  </si>
  <si>
    <t>93/2-СМР/2016</t>
  </si>
  <si>
    <t>93/1-СМР/2016</t>
  </si>
  <si>
    <t>112-СМР/2016</t>
  </si>
  <si>
    <t>44/1-СМР/2016</t>
  </si>
  <si>
    <t>94-СМР/2016</t>
  </si>
  <si>
    <t>98-СМР/2016</t>
  </si>
  <si>
    <t>59-ПД/2015</t>
  </si>
  <si>
    <t>120-СМР/2016</t>
  </si>
  <si>
    <t>180-СМР/2016</t>
  </si>
  <si>
    <t>54-ПД/2015</t>
  </si>
  <si>
    <t>132-СМР/2016</t>
  </si>
  <si>
    <t>138-СМР/201</t>
  </si>
  <si>
    <t>137-СМР/2015</t>
  </si>
  <si>
    <t>92-СМР/2016</t>
  </si>
  <si>
    <t>56-ПД/2015</t>
  </si>
  <si>
    <t>125-СМР/2016</t>
  </si>
  <si>
    <t>113-СМР/2016</t>
  </si>
  <si>
    <t>67-СМР/2016</t>
  </si>
  <si>
    <t>32-ПД/2015</t>
  </si>
  <si>
    <t>123-СМР/2016</t>
  </si>
  <si>
    <t>121-СМР/2016</t>
  </si>
  <si>
    <t>164-СМР/2016</t>
  </si>
  <si>
    <t>15.09.2016г.</t>
  </si>
  <si>
    <t>162-СМР/2016</t>
  </si>
  <si>
    <t>76-СМР/2016</t>
  </si>
  <si>
    <t>Собрано на 01.10.2016г.</t>
  </si>
  <si>
    <t>Наличие средств на 01.10.2016г.</t>
  </si>
  <si>
    <t>167-СМР/2016</t>
  </si>
  <si>
    <t>201-СМР/2016</t>
  </si>
  <si>
    <t>150-СМР/2016</t>
  </si>
  <si>
    <t>191-СМР/2016</t>
  </si>
  <si>
    <t>74/3-СМР2016</t>
  </si>
  <si>
    <t>178-СМР/2016</t>
  </si>
  <si>
    <t>158-СМР/2016</t>
  </si>
  <si>
    <t>130-СМР/2016</t>
  </si>
  <si>
    <t>77-СМР/2016</t>
  </si>
  <si>
    <t>119-СМР/2016</t>
  </si>
  <si>
    <t>168-СМР/2016</t>
  </si>
  <si>
    <t>109-СМР/2016</t>
  </si>
  <si>
    <t>37/2-СМР/2016</t>
  </si>
  <si>
    <t>202-СМР/2016</t>
  </si>
  <si>
    <t>217-СМР/2016</t>
  </si>
  <si>
    <t>215-СМР/2016</t>
  </si>
  <si>
    <t>157-СМР/2016</t>
  </si>
  <si>
    <t>с. Быков, ул. Горняцкая, д. 11</t>
  </si>
  <si>
    <t>25-ПД/2015</t>
  </si>
  <si>
    <t>214-СМР/2016</t>
  </si>
  <si>
    <t>186-СМР/2016</t>
  </si>
  <si>
    <t>116-СМР/2016</t>
  </si>
  <si>
    <t>165-СМР/2016</t>
  </si>
  <si>
    <t>156-СМР/2016</t>
  </si>
  <si>
    <t>г. Холмск, ул. Капитанская, д. 2</t>
  </si>
  <si>
    <t>231-СМР/2016</t>
  </si>
  <si>
    <t>219-СМР/2016</t>
  </si>
  <si>
    <t>с. Горнозаводск, ул. Артемовская, д. 5</t>
  </si>
  <si>
    <t>209-СМР/2016</t>
  </si>
  <si>
    <t>185-СМР/2016</t>
  </si>
  <si>
    <t>99-СМР/2016</t>
  </si>
  <si>
    <t>Информация о выполнении работ по капитальному ремонту жилищного фонда на территории Сахалинской области по состоянию на 01.10.2016г.</t>
  </si>
  <si>
    <t xml:space="preserve">Сведения о выполнении работ по капитальному ремонту МКД на территории Сахалинской области по видам работ по состоянию на 01.10.2016г.   </t>
  </si>
  <si>
    <t>Информация о выполнении работ по капитальному ремонту жилищного фонда в муниципальном образовании "ГО Александровск-Сахалинский" по состоянию на 01.10.2016г.</t>
  </si>
  <si>
    <t>Информация о выполнении работ по капитальному ремонту жилищного фонда в муниципальном образовании "Анивский городской округ" по состоянию на 01.10.2016г.</t>
  </si>
  <si>
    <t>Информация о выполнении работ по капитальному ремонту жилищного фонда в муниципальном образовании "Бошняковское сельское поселение" по состоянию на 01.10.2016г.</t>
  </si>
  <si>
    <t>Информация о выполнении работ по капитальному ремонту жилищного фонда в муниципальном образовании "Городской округ Долинский " по состоянию на 01.10.2016г.</t>
  </si>
  <si>
    <t>Информация о выполнении работ по капитальному ремонту жилищного фонда в муниципальном образовании "Корсаковский городской округ " по состоянию на 01.10.2016г.</t>
  </si>
  <si>
    <t>Информация о выполнении работ по капитальному ремонту жилищного фонда в муниципальном образовании "Курильский городской округ" по состоянию на 01.10.2016г.</t>
  </si>
  <si>
    <t>Информация о выполнении работ по капитальному ремонту жилищного фонда в муниципальном образовании "Невельский городской округ " по состоянию на 01.10.2016г.</t>
  </si>
  <si>
    <t>Информация о выполнении работ по капитальному ремонту жилищного фонда в муниципальном образовании "Городской округ Ногликский" по состоянию на 01.10.2016г.</t>
  </si>
  <si>
    <t>Информация о выполнении работ по капитальному ремонту жилищного фонда в муниципальном образовании "Городской округ Охинский" по состоянию на 01.10.2016г.</t>
  </si>
  <si>
    <t>Информация о выполнении работ по капитальному ремонту жилищного фонда в муниципальном образовании "Поронайский городской округ" по состоянию на 01.10.2016г.</t>
  </si>
  <si>
    <t>Информация о выполнении работ по капитальному ремонту жилищного фонда в муниципальном образовании "Северо-Курильский городской округ" по состоянию на 01.10.2016г.</t>
  </si>
  <si>
    <t>Информация о выполнении работ по капитальному ремонту жилищного фонда в муниципальном образовании "Городской округ Смирныховский" по состоянию на 01.10.2016г.</t>
  </si>
  <si>
    <t>Информация о выполнении работ по капитальному ремонту жилищного фонда в муниципальном образовании "Томаринский городсккой округ" по состоянию на 01.10.2016г.</t>
  </si>
  <si>
    <t>Информация о выполнении работ по капитальному ремонту жилищного фонда в муниципальном образовании "Тымовскийгородской округ" по состоянию на 01.10.2016г.</t>
  </si>
  <si>
    <t>Информация о выполнении работ по капитальному ремонту жилищного фонда в муниципальном образовании "Углегорский муниципальный район" по состоянию на 01.10.2016г.</t>
  </si>
  <si>
    <t>Информация о выполнении работ по капитальному ремонту жилищного фонда в муниципальном образовании "Холмский городской округ" по состоянию на 01.10.2016г.</t>
  </si>
  <si>
    <t>Информация о выполнении работ по капитальному ремонту жилищного фонда в муниципальном образовании "Шахтерское городское поселение" по состоянию на 01.10.2016г.</t>
  </si>
  <si>
    <t>Информация о выполнении работ по капитальному ремонту жилищного фонда в муниципальном образовании "Южно-Курильский городской округ" по состоянию на 01.10.2016г.</t>
  </si>
  <si>
    <t>Информация о выполнении работ по капитальному ремонту жилищного фонда в муниципальном образовании "Городской округ Южно-сахалинск" по состоянию на 01.10.2016г.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</si>
</sst>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00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8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3" fillId="0" borderId="8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0" xfId="1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/>
    <xf numFmtId="4" fontId="2" fillId="0" borderId="26" xfId="0" applyNumberFormat="1" applyFont="1" applyBorder="1"/>
    <xf numFmtId="0" fontId="2" fillId="0" borderId="26" xfId="0" applyFont="1" applyBorder="1"/>
    <xf numFmtId="4" fontId="2" fillId="0" borderId="8" xfId="0" applyNumberFormat="1" applyFont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4" fontId="3" fillId="0" borderId="9" xfId="1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26" xfId="0" applyFont="1" applyBorder="1"/>
    <xf numFmtId="4" fontId="2" fillId="2" borderId="1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vertical="center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/>
    </xf>
    <xf numFmtId="4" fontId="3" fillId="0" borderId="9" xfId="1" applyNumberFormat="1" applyFont="1" applyBorder="1" applyAlignment="1">
      <alignment horizontal="right" vertical="center"/>
    </xf>
    <xf numFmtId="0" fontId="2" fillId="0" borderId="31" xfId="0" applyFont="1" applyBorder="1"/>
    <xf numFmtId="0" fontId="2" fillId="0" borderId="30" xfId="0" applyFont="1" applyBorder="1" applyAlignment="1">
      <alignment horizontal="center" vertical="center"/>
    </xf>
    <xf numFmtId="4" fontId="2" fillId="0" borderId="8" xfId="0" applyNumberFormat="1" applyFont="1" applyBorder="1"/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4" fontId="3" fillId="0" borderId="26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3" fillId="0" borderId="26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0" borderId="0" xfId="0" applyNumberFormat="1" applyFont="1"/>
    <xf numFmtId="4" fontId="2" fillId="0" borderId="0" xfId="0" applyNumberFormat="1" applyFont="1" applyAlignment="1">
      <alignment horizontal="left" vertical="center"/>
    </xf>
    <xf numFmtId="4" fontId="2" fillId="0" borderId="24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4" fontId="3" fillId="0" borderId="3" xfId="1" applyNumberFormat="1" applyFont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vertical="center"/>
    </xf>
    <xf numFmtId="4" fontId="3" fillId="0" borderId="34" xfId="1" applyNumberFormat="1" applyFont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2" fillId="3" borderId="0" xfId="0" applyFont="1" applyFill="1"/>
    <xf numFmtId="4" fontId="2" fillId="0" borderId="9" xfId="0" applyNumberFormat="1" applyFont="1" applyBorder="1" applyAlignment="1">
      <alignment vertical="center"/>
    </xf>
    <xf numFmtId="4" fontId="3" fillId="0" borderId="26" xfId="1" applyNumberFormat="1" applyFont="1" applyBorder="1" applyAlignment="1">
      <alignment horizontal="right" vertical="center" wrapText="1"/>
    </xf>
    <xf numFmtId="4" fontId="3" fillId="0" borderId="26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4" fontId="2" fillId="0" borderId="30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1" xfId="0" applyFont="1" applyBorder="1"/>
    <xf numFmtId="0" fontId="2" fillId="0" borderId="8" xfId="0" applyFont="1" applyBorder="1"/>
    <xf numFmtId="4" fontId="2" fillId="0" borderId="9" xfId="0" applyNumberFormat="1" applyFont="1" applyBorder="1"/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/>
    <xf numFmtId="4" fontId="14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3" fillId="0" borderId="3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" fontId="3" fillId="0" borderId="24" xfId="1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right" vertical="center"/>
    </xf>
    <xf numFmtId="4" fontId="3" fillId="2" borderId="26" xfId="0" applyNumberFormat="1" applyFont="1" applyFill="1" applyBorder="1"/>
    <xf numFmtId="4" fontId="2" fillId="2" borderId="1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0" borderId="24" xfId="1" applyNumberFormat="1" applyFont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3" fillId="2" borderId="24" xfId="1" applyNumberFormat="1" applyFont="1" applyFill="1" applyBorder="1" applyAlignment="1">
      <alignment horizontal="right" vertical="center"/>
    </xf>
    <xf numFmtId="4" fontId="2" fillId="2" borderId="24" xfId="1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2" borderId="2" xfId="1" applyNumberFormat="1" applyFont="1" applyFill="1" applyBorder="1" applyAlignment="1">
      <alignment horizontal="right" vertical="center"/>
    </xf>
    <xf numFmtId="4" fontId="2" fillId="2" borderId="26" xfId="0" applyNumberFormat="1" applyFont="1" applyFill="1" applyBorder="1"/>
    <xf numFmtId="0" fontId="9" fillId="2" borderId="11" xfId="0" applyNumberFormat="1" applyFont="1" applyFill="1" applyBorder="1" applyAlignment="1">
      <alignment horizontal="center" vertical="center" wrapText="1"/>
    </xf>
    <xf numFmtId="4" fontId="9" fillId="2" borderId="37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vertical="center"/>
    </xf>
    <xf numFmtId="4" fontId="3" fillId="2" borderId="37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 vertical="center"/>
    </xf>
    <xf numFmtId="0" fontId="3" fillId="2" borderId="27" xfId="0" applyFont="1" applyFill="1" applyBorder="1"/>
    <xf numFmtId="4" fontId="3" fillId="0" borderId="26" xfId="1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4" fontId="3" fillId="0" borderId="1" xfId="0" applyNumberFormat="1" applyFont="1" applyBorder="1"/>
    <xf numFmtId="0" fontId="2" fillId="0" borderId="29" xfId="0" applyFont="1" applyBorder="1" applyAlignment="1">
      <alignment horizontal="right" vertical="center"/>
    </xf>
    <xf numFmtId="4" fontId="3" fillId="0" borderId="11" xfId="0" applyNumberFormat="1" applyFont="1" applyBorder="1"/>
    <xf numFmtId="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/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4" fontId="2" fillId="0" borderId="30" xfId="0" applyNumberFormat="1" applyFont="1" applyBorder="1"/>
    <xf numFmtId="4" fontId="3" fillId="0" borderId="2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" fontId="3" fillId="0" borderId="13" xfId="1" applyNumberFormat="1" applyFont="1" applyBorder="1"/>
    <xf numFmtId="4" fontId="2" fillId="0" borderId="0" xfId="1" applyNumberFormat="1" applyFont="1"/>
    <xf numFmtId="4" fontId="3" fillId="0" borderId="3" xfId="0" applyNumberFormat="1" applyFont="1" applyBorder="1" applyAlignment="1">
      <alignment vertical="center"/>
    </xf>
    <xf numFmtId="4" fontId="2" fillId="0" borderId="3" xfId="0" applyNumberFormat="1" applyFont="1" applyBorder="1"/>
    <xf numFmtId="4" fontId="3" fillId="0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16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/>
    </xf>
    <xf numFmtId="0" fontId="15" fillId="2" borderId="8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vertical="center"/>
    </xf>
    <xf numFmtId="0" fontId="16" fillId="2" borderId="11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3" borderId="26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4" fontId="2" fillId="3" borderId="26" xfId="0" applyNumberFormat="1" applyFon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/>
    </xf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4" fontId="2" fillId="3" borderId="3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26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3" borderId="30" xfId="0" applyFont="1" applyFill="1" applyBorder="1" applyAlignment="1">
      <alignment horizontal="center" vertical="center"/>
    </xf>
    <xf numFmtId="4" fontId="2" fillId="3" borderId="31" xfId="0" applyNumberFormat="1" applyFont="1" applyFill="1" applyBorder="1" applyAlignment="1">
      <alignment vertical="center"/>
    </xf>
    <xf numFmtId="4" fontId="2" fillId="3" borderId="9" xfId="0" applyNumberFormat="1" applyFont="1" applyFill="1" applyBorder="1"/>
    <xf numFmtId="4" fontId="2" fillId="3" borderId="26" xfId="0" applyNumberFormat="1" applyFont="1" applyFill="1" applyBorder="1"/>
    <xf numFmtId="0" fontId="2" fillId="3" borderId="26" xfId="0" applyFont="1" applyFill="1" applyBorder="1"/>
    <xf numFmtId="0" fontId="2" fillId="0" borderId="26" xfId="0" applyFont="1" applyFill="1" applyBorder="1"/>
    <xf numFmtId="4" fontId="2" fillId="0" borderId="11" xfId="0" applyNumberFormat="1" applyFont="1" applyBorder="1" applyAlignment="1">
      <alignment vertical="center"/>
    </xf>
    <xf numFmtId="4" fontId="3" fillId="2" borderId="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right"/>
    </xf>
    <xf numFmtId="4" fontId="8" fillId="0" borderId="8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3" fontId="3" fillId="3" borderId="8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right" vertical="center"/>
    </xf>
    <xf numFmtId="4" fontId="3" fillId="3" borderId="8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26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4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4" fontId="2" fillId="0" borderId="34" xfId="0" applyNumberFormat="1" applyFont="1" applyBorder="1"/>
    <xf numFmtId="4" fontId="3" fillId="0" borderId="9" xfId="0" applyNumberFormat="1" applyFont="1" applyBorder="1" applyAlignment="1">
      <alignment horizontal="right" vertical="center"/>
    </xf>
    <xf numFmtId="0" fontId="15" fillId="3" borderId="8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3" borderId="8" xfId="1" applyNumberFormat="1" applyFont="1" applyFill="1" applyBorder="1" applyAlignment="1">
      <alignment horizontal="right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/>
    </xf>
    <xf numFmtId="0" fontId="3" fillId="0" borderId="26" xfId="0" applyFont="1" applyFill="1" applyBorder="1"/>
    <xf numFmtId="0" fontId="3" fillId="0" borderId="0" xfId="0" applyFont="1" applyFill="1"/>
    <xf numFmtId="0" fontId="15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8" xfId="1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/>
    </xf>
    <xf numFmtId="4" fontId="15" fillId="0" borderId="22" xfId="0" applyNumberFormat="1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/>
    <xf numFmtId="4" fontId="2" fillId="3" borderId="30" xfId="0" applyNumberFormat="1" applyFont="1" applyFill="1" applyBorder="1" applyAlignment="1">
      <alignment vertical="center"/>
    </xf>
    <xf numFmtId="4" fontId="2" fillId="3" borderId="28" xfId="0" applyNumberFormat="1" applyFont="1" applyFill="1" applyBorder="1" applyAlignment="1">
      <alignment vertical="center"/>
    </xf>
    <xf numFmtId="4" fontId="2" fillId="3" borderId="29" xfId="0" applyNumberFormat="1" applyFont="1" applyFill="1" applyBorder="1" applyAlignment="1">
      <alignment vertical="center"/>
    </xf>
    <xf numFmtId="4" fontId="2" fillId="0" borderId="48" xfId="0" applyNumberFormat="1" applyFont="1" applyBorder="1"/>
    <xf numFmtId="4" fontId="3" fillId="0" borderId="26" xfId="0" applyNumberFormat="1" applyFont="1" applyBorder="1"/>
    <xf numFmtId="4" fontId="2" fillId="0" borderId="2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3" fontId="2" fillId="0" borderId="48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left" vertical="center"/>
    </xf>
    <xf numFmtId="4" fontId="2" fillId="0" borderId="9" xfId="1" applyNumberFormat="1" applyFont="1" applyBorder="1" applyAlignment="1">
      <alignment horizontal="right" vertical="center"/>
    </xf>
    <xf numFmtId="0" fontId="2" fillId="3" borderId="46" xfId="0" applyFont="1" applyFill="1" applyBorder="1" applyAlignment="1">
      <alignment horizontal="right" vertical="center"/>
    </xf>
    <xf numFmtId="4" fontId="2" fillId="3" borderId="30" xfId="1" applyNumberFormat="1" applyFont="1" applyFill="1" applyBorder="1" applyAlignment="1">
      <alignment horizontal="right" vertical="center"/>
    </xf>
    <xf numFmtId="4" fontId="2" fillId="3" borderId="47" xfId="1" applyNumberFormat="1" applyFont="1" applyFill="1" applyBorder="1" applyAlignment="1">
      <alignment horizontal="right" vertical="center"/>
    </xf>
    <xf numFmtId="4" fontId="2" fillId="3" borderId="28" xfId="1" applyNumberFormat="1" applyFont="1" applyFill="1" applyBorder="1" applyAlignment="1">
      <alignment horizontal="right" vertical="center"/>
    </xf>
    <xf numFmtId="4" fontId="2" fillId="3" borderId="46" xfId="1" applyNumberFormat="1" applyFont="1" applyFill="1" applyBorder="1" applyAlignment="1">
      <alignment horizontal="right" vertical="center"/>
    </xf>
    <xf numFmtId="0" fontId="2" fillId="3" borderId="31" xfId="0" applyFont="1" applyFill="1" applyBorder="1"/>
    <xf numFmtId="4" fontId="3" fillId="2" borderId="11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2" fillId="0" borderId="31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4" fontId="3" fillId="0" borderId="13" xfId="0" applyNumberFormat="1" applyFont="1" applyBorder="1"/>
    <xf numFmtId="4" fontId="3" fillId="0" borderId="19" xfId="0" applyNumberFormat="1" applyFont="1" applyBorder="1" applyAlignment="1">
      <alignment vertical="center"/>
    </xf>
    <xf numFmtId="4" fontId="8" fillId="3" borderId="2" xfId="0" applyNumberFormat="1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vertical="center"/>
    </xf>
    <xf numFmtId="4" fontId="2" fillId="3" borderId="47" xfId="0" applyNumberFormat="1" applyFont="1" applyFill="1" applyBorder="1" applyAlignment="1">
      <alignment vertical="center"/>
    </xf>
    <xf numFmtId="4" fontId="2" fillId="3" borderId="46" xfId="0" applyNumberFormat="1" applyFont="1" applyFill="1" applyBorder="1" applyAlignment="1">
      <alignment vertical="center"/>
    </xf>
    <xf numFmtId="4" fontId="2" fillId="3" borderId="31" xfId="0" applyNumberFormat="1" applyFont="1" applyFill="1" applyBorder="1" applyAlignment="1">
      <alignment horizontal="right" vertical="center"/>
    </xf>
    <xf numFmtId="4" fontId="2" fillId="3" borderId="28" xfId="0" applyNumberFormat="1" applyFont="1" applyFill="1" applyBorder="1" applyAlignment="1">
      <alignment horizontal="right" vertical="center"/>
    </xf>
    <xf numFmtId="4" fontId="2" fillId="3" borderId="29" xfId="0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3" fontId="2" fillId="3" borderId="30" xfId="0" applyNumberFormat="1" applyFont="1" applyFill="1" applyBorder="1" applyAlignment="1">
      <alignment horizontal="center" vertical="center"/>
    </xf>
    <xf numFmtId="4" fontId="3" fillId="0" borderId="34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3" borderId="34" xfId="0" applyNumberFormat="1" applyFont="1" applyFill="1" applyBorder="1" applyAlignment="1">
      <alignment horizontal="right" vertical="center"/>
    </xf>
    <xf numFmtId="4" fontId="2" fillId="3" borderId="0" xfId="0" applyNumberFormat="1" applyFont="1" applyFill="1"/>
    <xf numFmtId="4" fontId="3" fillId="0" borderId="8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/>
    </xf>
    <xf numFmtId="4" fontId="3" fillId="0" borderId="48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0" fontId="16" fillId="2" borderId="48" xfId="0" applyNumberFormat="1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vertical="center"/>
    </xf>
    <xf numFmtId="4" fontId="3" fillId="0" borderId="55" xfId="1" applyNumberFormat="1" applyFont="1" applyFill="1" applyBorder="1" applyAlignment="1">
      <alignment horizontal="right" vertical="center" wrapText="1"/>
    </xf>
    <xf numFmtId="4" fontId="3" fillId="0" borderId="56" xfId="1" applyNumberFormat="1" applyFont="1" applyFill="1" applyBorder="1" applyAlignment="1">
      <alignment horizontal="right" vertical="center" wrapText="1"/>
    </xf>
    <xf numFmtId="4" fontId="3" fillId="0" borderId="51" xfId="1" applyNumberFormat="1" applyFont="1" applyFill="1" applyBorder="1" applyAlignment="1">
      <alignment horizontal="right" vertical="center" wrapText="1"/>
    </xf>
    <xf numFmtId="4" fontId="3" fillId="0" borderId="57" xfId="0" applyNumberFormat="1" applyFont="1" applyFill="1" applyBorder="1" applyAlignment="1">
      <alignment horizontal="right" vertical="center"/>
    </xf>
    <xf numFmtId="4" fontId="3" fillId="0" borderId="54" xfId="0" applyNumberFormat="1" applyFont="1" applyFill="1" applyBorder="1" applyAlignment="1">
      <alignment horizontal="right" vertical="center"/>
    </xf>
    <xf numFmtId="4" fontId="3" fillId="0" borderId="56" xfId="0" applyNumberFormat="1" applyFont="1" applyFill="1" applyBorder="1" applyAlignment="1">
      <alignment horizontal="right" vertical="center" wrapText="1"/>
    </xf>
    <xf numFmtId="4" fontId="3" fillId="0" borderId="58" xfId="0" applyNumberFormat="1" applyFont="1" applyFill="1" applyBorder="1" applyAlignment="1">
      <alignment horizontal="right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31" xfId="0" applyFont="1" applyFill="1" applyBorder="1" applyAlignment="1">
      <alignment horizontal="left" vertical="center"/>
    </xf>
    <xf numFmtId="0" fontId="15" fillId="3" borderId="30" xfId="0" applyNumberFormat="1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right" vertical="center"/>
    </xf>
    <xf numFmtId="4" fontId="2" fillId="3" borderId="3" xfId="0" applyNumberFormat="1" applyFont="1" applyFill="1" applyBorder="1"/>
    <xf numFmtId="0" fontId="3" fillId="0" borderId="24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horizontal="right" vertical="center"/>
    </xf>
    <xf numFmtId="0" fontId="3" fillId="3" borderId="26" xfId="0" applyFont="1" applyFill="1" applyBorder="1" applyAlignment="1">
      <alignment vertical="center"/>
    </xf>
    <xf numFmtId="0" fontId="3" fillId="3" borderId="0" xfId="0" applyFont="1" applyFill="1"/>
    <xf numFmtId="0" fontId="2" fillId="3" borderId="31" xfId="0" applyFont="1" applyFill="1" applyBorder="1" applyAlignment="1">
      <alignment vertical="center"/>
    </xf>
    <xf numFmtId="0" fontId="2" fillId="3" borderId="8" xfId="0" applyNumberFormat="1" applyFont="1" applyFill="1" applyBorder="1" applyAlignment="1">
      <alignment horizontal="center" vertical="center"/>
    </xf>
    <xf numFmtId="4" fontId="2" fillId="3" borderId="9" xfId="1" applyNumberFormat="1" applyFont="1" applyFill="1" applyBorder="1"/>
    <xf numFmtId="4" fontId="3" fillId="3" borderId="9" xfId="1" applyNumberFormat="1" applyFont="1" applyFill="1" applyBorder="1" applyAlignment="1">
      <alignment vertical="center"/>
    </xf>
    <xf numFmtId="0" fontId="3" fillId="3" borderId="26" xfId="0" applyFont="1" applyFill="1" applyBorder="1"/>
    <xf numFmtId="4" fontId="3" fillId="3" borderId="1" xfId="0" applyNumberFormat="1" applyFont="1" applyFill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26" xfId="0" applyFont="1" applyFill="1" applyBorder="1" applyAlignment="1">
      <alignment horizontal="left" vertical="center"/>
    </xf>
    <xf numFmtId="9" fontId="12" fillId="0" borderId="13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3" fontId="12" fillId="0" borderId="3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4" fontId="3" fillId="0" borderId="33" xfId="0" applyNumberFormat="1" applyFont="1" applyBorder="1"/>
    <xf numFmtId="4" fontId="3" fillId="0" borderId="27" xfId="0" applyNumberFormat="1" applyFont="1" applyBorder="1"/>
    <xf numFmtId="4" fontId="3" fillId="0" borderId="48" xfId="0" applyNumberFormat="1" applyFont="1" applyBorder="1" applyAlignment="1">
      <alignment vertical="center"/>
    </xf>
    <xf numFmtId="4" fontId="3" fillId="0" borderId="3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center" vertical="center"/>
    </xf>
    <xf numFmtId="4" fontId="3" fillId="0" borderId="56" xfId="1" applyNumberFormat="1" applyFont="1" applyBorder="1" applyAlignment="1">
      <alignment vertical="center" wrapText="1"/>
    </xf>
    <xf numFmtId="4" fontId="3" fillId="0" borderId="58" xfId="1" applyNumberFormat="1" applyFont="1" applyBorder="1" applyAlignment="1">
      <alignment vertical="center" wrapText="1"/>
    </xf>
    <xf numFmtId="4" fontId="3" fillId="0" borderId="57" xfId="1" applyNumberFormat="1" applyFont="1" applyBorder="1" applyAlignment="1">
      <alignment vertical="center" wrapText="1"/>
    </xf>
    <xf numFmtId="4" fontId="3" fillId="0" borderId="54" xfId="0" applyNumberFormat="1" applyFont="1" applyBorder="1" applyAlignment="1">
      <alignment vertical="center"/>
    </xf>
    <xf numFmtId="4" fontId="3" fillId="0" borderId="56" xfId="0" applyNumberFormat="1" applyFont="1" applyBorder="1" applyAlignment="1">
      <alignment vertical="center" wrapText="1"/>
    </xf>
    <xf numFmtId="4" fontId="3" fillId="0" borderId="58" xfId="0" applyNumberFormat="1" applyFont="1" applyBorder="1" applyAlignment="1">
      <alignment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/>
    </xf>
    <xf numFmtId="0" fontId="15" fillId="3" borderId="22" xfId="0" applyFont="1" applyFill="1" applyBorder="1" applyAlignment="1">
      <alignment horizontal="right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12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9" fontId="2" fillId="0" borderId="26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26" xfId="2" applyNumberFormat="1" applyFont="1" applyBorder="1" applyAlignment="1">
      <alignment horizontal="center" vertical="center"/>
    </xf>
    <xf numFmtId="0" fontId="13" fillId="0" borderId="49" xfId="2" applyNumberFormat="1" applyFont="1" applyBorder="1" applyAlignment="1">
      <alignment horizontal="center" vertical="center"/>
    </xf>
    <xf numFmtId="9" fontId="13" fillId="0" borderId="27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9" fontId="3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" fontId="2" fillId="0" borderId="36" xfId="0" applyNumberFormat="1" applyFont="1" applyBorder="1" applyAlignment="1">
      <alignment horizontal="center" vertical="center"/>
    </xf>
    <xf numFmtId="0" fontId="12" fillId="0" borderId="36" xfId="2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9" fontId="12" fillId="0" borderId="36" xfId="0" applyNumberFormat="1" applyFont="1" applyFill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9" fontId="2" fillId="0" borderId="36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right" vertical="center"/>
    </xf>
    <xf numFmtId="4" fontId="15" fillId="3" borderId="2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3" fillId="0" borderId="34" xfId="0" applyNumberFormat="1" applyFont="1" applyBorder="1" applyAlignment="1">
      <alignment vertical="center"/>
    </xf>
    <xf numFmtId="4" fontId="2" fillId="3" borderId="34" xfId="0" applyNumberFormat="1" applyFont="1" applyFill="1" applyBorder="1"/>
    <xf numFmtId="0" fontId="3" fillId="3" borderId="9" xfId="0" applyFont="1" applyFill="1" applyBorder="1" applyAlignment="1">
      <alignment vertical="center" wrapText="1"/>
    </xf>
    <xf numFmtId="4" fontId="3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3" borderId="26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3" borderId="9" xfId="1" applyNumberFormat="1" applyFont="1" applyFill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/>
    </xf>
    <xf numFmtId="4" fontId="3" fillId="3" borderId="9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Alignment="1">
      <alignment horizontal="right" vertical="center"/>
    </xf>
    <xf numFmtId="4" fontId="3" fillId="3" borderId="24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4" fontId="3" fillId="0" borderId="9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/>
    <xf numFmtId="0" fontId="3" fillId="0" borderId="10" xfId="0" applyFont="1" applyBorder="1"/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/>
    <xf numFmtId="0" fontId="3" fillId="0" borderId="11" xfId="0" applyFont="1" applyBorder="1" applyAlignment="1">
      <alignment horizontal="left" vertical="center" wrapText="1"/>
    </xf>
    <xf numFmtId="4" fontId="3" fillId="0" borderId="20" xfId="0" applyNumberFormat="1" applyFont="1" applyBorder="1"/>
    <xf numFmtId="0" fontId="3" fillId="0" borderId="21" xfId="0" applyFont="1" applyBorder="1"/>
    <xf numFmtId="0" fontId="2" fillId="0" borderId="26" xfId="0" applyFont="1" applyBorder="1" applyAlignment="1">
      <alignment horizontal="right" vertical="center"/>
    </xf>
    <xf numFmtId="4" fontId="2" fillId="2" borderId="9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4" fontId="3" fillId="0" borderId="53" xfId="0" applyNumberFormat="1" applyFont="1" applyBorder="1" applyAlignment="1">
      <alignment vertical="center"/>
    </xf>
    <xf numFmtId="4" fontId="3" fillId="0" borderId="25" xfId="0" applyNumberFormat="1" applyFont="1" applyBorder="1"/>
    <xf numFmtId="4" fontId="3" fillId="0" borderId="39" xfId="0" applyNumberFormat="1" applyFont="1" applyBorder="1"/>
    <xf numFmtId="0" fontId="2" fillId="3" borderId="31" xfId="0" applyFont="1" applyFill="1" applyBorder="1" applyAlignment="1">
      <alignment horizontal="left" vertical="center"/>
    </xf>
    <xf numFmtId="4" fontId="2" fillId="3" borderId="0" xfId="0" applyNumberFormat="1" applyFont="1" applyFill="1" applyBorder="1"/>
    <xf numFmtId="4" fontId="3" fillId="0" borderId="24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4" fontId="3" fillId="3" borderId="3" xfId="0" applyNumberFormat="1" applyFont="1" applyFill="1" applyBorder="1" applyAlignment="1">
      <alignment vertical="center"/>
    </xf>
    <xf numFmtId="4" fontId="3" fillId="3" borderId="26" xfId="0" applyNumberFormat="1" applyFont="1" applyFill="1" applyBorder="1"/>
    <xf numFmtId="4" fontId="3" fillId="3" borderId="0" xfId="0" applyNumberFormat="1" applyFont="1" applyFill="1"/>
    <xf numFmtId="4" fontId="3" fillId="3" borderId="9" xfId="0" applyNumberFormat="1" applyFont="1" applyFill="1" applyBorder="1" applyAlignment="1">
      <alignment horizontal="left" vertical="center" wrapText="1"/>
    </xf>
    <xf numFmtId="4" fontId="3" fillId="3" borderId="34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right"/>
    </xf>
    <xf numFmtId="4" fontId="3" fillId="0" borderId="3" xfId="0" applyNumberFormat="1" applyFont="1" applyBorder="1"/>
    <xf numFmtId="0" fontId="0" fillId="3" borderId="0" xfId="0" applyFill="1"/>
    <xf numFmtId="4" fontId="2" fillId="3" borderId="31" xfId="0" applyNumberFormat="1" applyFont="1" applyFill="1" applyBorder="1"/>
    <xf numFmtId="4" fontId="2" fillId="3" borderId="30" xfId="0" applyNumberFormat="1" applyFont="1" applyFill="1" applyBorder="1"/>
    <xf numFmtId="4" fontId="2" fillId="3" borderId="28" xfId="0" applyNumberFormat="1" applyFont="1" applyFill="1" applyBorder="1"/>
    <xf numFmtId="4" fontId="2" fillId="3" borderId="29" xfId="0" applyNumberFormat="1" applyFont="1" applyFill="1" applyBorder="1"/>
    <xf numFmtId="0" fontId="2" fillId="3" borderId="30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right" vertical="center"/>
    </xf>
    <xf numFmtId="0" fontId="16" fillId="3" borderId="30" xfId="0" applyNumberFormat="1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vertical="center"/>
    </xf>
    <xf numFmtId="4" fontId="3" fillId="3" borderId="30" xfId="0" applyNumberFormat="1" applyFont="1" applyFill="1" applyBorder="1" applyAlignment="1">
      <alignment horizontal="right" vertical="center"/>
    </xf>
    <xf numFmtId="4" fontId="3" fillId="3" borderId="28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/>
    <xf numFmtId="0" fontId="16" fillId="3" borderId="8" xfId="0" applyNumberFormat="1" applyFont="1" applyFill="1" applyBorder="1" applyAlignment="1">
      <alignment horizontal="center" vertical="center" wrapText="1"/>
    </xf>
    <xf numFmtId="4" fontId="3" fillId="3" borderId="8" xfId="1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/>
    <xf numFmtId="4" fontId="2" fillId="0" borderId="9" xfId="0" applyNumberFormat="1" applyFont="1" applyFill="1" applyBorder="1"/>
    <xf numFmtId="4" fontId="15" fillId="3" borderId="1" xfId="0" applyNumberFormat="1" applyFont="1" applyFill="1" applyBorder="1" applyAlignment="1">
      <alignment horizontal="right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4" fontId="3" fillId="3" borderId="24" xfId="0" applyNumberFormat="1" applyFont="1" applyFill="1" applyBorder="1" applyAlignment="1">
      <alignment vertical="center"/>
    </xf>
    <xf numFmtId="4" fontId="3" fillId="3" borderId="1" xfId="1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4" fontId="2" fillId="3" borderId="9" xfId="1" applyNumberFormat="1" applyFont="1" applyFill="1" applyBorder="1" applyAlignment="1">
      <alignment horizontal="right" vertical="center"/>
    </xf>
    <xf numFmtId="14" fontId="2" fillId="3" borderId="0" xfId="0" applyNumberFormat="1" applyFont="1" applyFill="1"/>
    <xf numFmtId="0" fontId="2" fillId="0" borderId="39" xfId="0" applyFont="1" applyBorder="1"/>
    <xf numFmtId="0" fontId="16" fillId="3" borderId="9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/>
    <xf numFmtId="3" fontId="2" fillId="0" borderId="6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2" fillId="0" borderId="0" xfId="0" applyNumberFormat="1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right" vertical="center"/>
    </xf>
    <xf numFmtId="4" fontId="2" fillId="3" borderId="1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Border="1"/>
    <xf numFmtId="0" fontId="2" fillId="3" borderId="0" xfId="0" applyFont="1" applyFill="1" applyBorder="1"/>
    <xf numFmtId="0" fontId="3" fillId="0" borderId="0" xfId="0" applyFont="1" applyBorder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14" fontId="2" fillId="3" borderId="0" xfId="0" applyNumberFormat="1" applyFont="1" applyFill="1" applyBorder="1"/>
    <xf numFmtId="14" fontId="2" fillId="3" borderId="0" xfId="0" applyNumberFormat="1" applyFont="1" applyFill="1" applyAlignment="1">
      <alignment vertical="center"/>
    </xf>
    <xf numFmtId="4" fontId="3" fillId="3" borderId="2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3" fillId="0" borderId="30" xfId="0" applyNumberFormat="1" applyFont="1" applyFill="1" applyBorder="1" applyAlignment="1">
      <alignment vertical="center"/>
    </xf>
    <xf numFmtId="4" fontId="2" fillId="0" borderId="30" xfId="0" applyNumberFormat="1" applyFont="1" applyFill="1" applyBorder="1"/>
    <xf numFmtId="14" fontId="2" fillId="0" borderId="0" xfId="0" applyNumberFormat="1" applyFont="1"/>
    <xf numFmtId="4" fontId="14" fillId="3" borderId="2" xfId="0" applyNumberFormat="1" applyFont="1" applyFill="1" applyBorder="1" applyAlignment="1">
      <alignment horizontal="left" vertical="center" wrapText="1"/>
    </xf>
    <xf numFmtId="14" fontId="2" fillId="3" borderId="26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24" xfId="1" applyNumberFormat="1" applyFont="1" applyFill="1" applyBorder="1" applyAlignment="1">
      <alignment horizontal="right" vertical="center"/>
    </xf>
    <xf numFmtId="4" fontId="2" fillId="3" borderId="1" xfId="1" applyNumberFormat="1" applyFont="1" applyFill="1" applyBorder="1" applyAlignment="1">
      <alignment horizontal="right" vertical="center"/>
    </xf>
    <xf numFmtId="4" fontId="2" fillId="3" borderId="2" xfId="1" applyNumberFormat="1" applyFont="1" applyFill="1" applyBorder="1" applyAlignment="1">
      <alignment horizontal="right" vertical="center"/>
    </xf>
    <xf numFmtId="14" fontId="3" fillId="3" borderId="0" xfId="0" applyNumberFormat="1" applyFont="1" applyFill="1"/>
    <xf numFmtId="14" fontId="3" fillId="0" borderId="0" xfId="0" applyNumberFormat="1" applyFont="1"/>
    <xf numFmtId="14" fontId="3" fillId="3" borderId="0" xfId="0" applyNumberFormat="1" applyFont="1" applyFill="1" applyAlignment="1">
      <alignment horizontal="right" vertical="center"/>
    </xf>
    <xf numFmtId="14" fontId="3" fillId="0" borderId="0" xfId="0" applyNumberFormat="1" applyFont="1" applyFill="1"/>
    <xf numFmtId="14" fontId="2" fillId="3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left"/>
    </xf>
    <xf numFmtId="14" fontId="2" fillId="3" borderId="0" xfId="0" applyNumberFormat="1" applyFont="1" applyFill="1" applyAlignment="1">
      <alignment horizontal="left" vertical="top"/>
    </xf>
    <xf numFmtId="14" fontId="2" fillId="3" borderId="0" xfId="0" applyNumberFormat="1" applyFont="1" applyFill="1" applyAlignment="1">
      <alignment horizontal="left" vertical="center"/>
    </xf>
    <xf numFmtId="4" fontId="2" fillId="3" borderId="48" xfId="0" applyNumberFormat="1" applyFont="1" applyFill="1" applyBorder="1"/>
    <xf numFmtId="4" fontId="2" fillId="3" borderId="22" xfId="0" applyNumberFormat="1" applyFont="1" applyFill="1" applyBorder="1"/>
    <xf numFmtId="4" fontId="3" fillId="3" borderId="9" xfId="0" applyNumberFormat="1" applyFont="1" applyFill="1" applyBorder="1" applyAlignment="1">
      <alignment vertical="center" wrapText="1"/>
    </xf>
    <xf numFmtId="14" fontId="2" fillId="3" borderId="0" xfId="0" applyNumberFormat="1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left"/>
    </xf>
    <xf numFmtId="4" fontId="2" fillId="3" borderId="24" xfId="0" applyNumberFormat="1" applyFont="1" applyFill="1" applyBorder="1"/>
    <xf numFmtId="4" fontId="2" fillId="3" borderId="10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3" fillId="0" borderId="0" xfId="0" applyFont="1" applyBorder="1" applyAlignment="1">
      <alignment vertical="center"/>
    </xf>
    <xf numFmtId="4" fontId="3" fillId="3" borderId="34" xfId="0" applyNumberFormat="1" applyFont="1" applyFill="1" applyBorder="1" applyAlignment="1">
      <alignment horizontal="right" vertical="center"/>
    </xf>
    <xf numFmtId="14" fontId="3" fillId="3" borderId="0" xfId="0" applyNumberFormat="1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2" fillId="3" borderId="0" xfId="0" applyNumberFormat="1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9" fontId="2" fillId="4" borderId="0" xfId="0" applyNumberFormat="1" applyFont="1" applyFill="1"/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" fontId="3" fillId="0" borderId="9" xfId="0" applyNumberFormat="1" applyFont="1" applyFill="1" applyBorder="1" applyAlignment="1">
      <alignment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0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right" vertical="center"/>
    </xf>
    <xf numFmtId="4" fontId="2" fillId="5" borderId="26" xfId="0" applyNumberFormat="1" applyFont="1" applyFill="1" applyBorder="1" applyAlignment="1">
      <alignment vertical="center"/>
    </xf>
    <xf numFmtId="4" fontId="2" fillId="5" borderId="8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2" fillId="5" borderId="9" xfId="0" applyNumberFormat="1" applyFont="1" applyFill="1" applyBorder="1" applyAlignment="1">
      <alignment vertical="center"/>
    </xf>
    <xf numFmtId="14" fontId="2" fillId="5" borderId="0" xfId="0" applyNumberFormat="1" applyFont="1" applyFill="1" applyAlignment="1">
      <alignment horizontal="left" vertical="center"/>
    </xf>
    <xf numFmtId="4" fontId="2" fillId="5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4" fontId="2" fillId="3" borderId="0" xfId="0" applyNumberFormat="1" applyFont="1" applyFill="1" applyAlignment="1">
      <alignment horizontal="right" vertical="center"/>
    </xf>
    <xf numFmtId="0" fontId="3" fillId="3" borderId="30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vertical="center"/>
    </xf>
    <xf numFmtId="4" fontId="3" fillId="3" borderId="47" xfId="0" applyNumberFormat="1" applyFont="1" applyFill="1" applyBorder="1" applyAlignment="1">
      <alignment vertical="center"/>
    </xf>
    <xf numFmtId="4" fontId="3" fillId="3" borderId="64" xfId="0" applyNumberFormat="1" applyFont="1" applyFill="1" applyBorder="1" applyAlignment="1">
      <alignment vertical="center"/>
    </xf>
    <xf numFmtId="14" fontId="6" fillId="3" borderId="0" xfId="0" applyNumberFormat="1" applyFont="1" applyFill="1"/>
    <xf numFmtId="0" fontId="3" fillId="0" borderId="32" xfId="0" applyFont="1" applyFill="1" applyBorder="1" applyAlignment="1">
      <alignment horizontal="center" vertical="center" textRotation="90"/>
    </xf>
    <xf numFmtId="3" fontId="13" fillId="0" borderId="11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14" fontId="2" fillId="0" borderId="0" xfId="0" applyNumberFormat="1" applyFont="1" applyFill="1" applyAlignment="1">
      <alignment vertical="center"/>
    </xf>
    <xf numFmtId="4" fontId="13" fillId="0" borderId="27" xfId="0" applyNumberFormat="1" applyFont="1" applyFill="1" applyBorder="1" applyAlignment="1">
      <alignment vertical="center"/>
    </xf>
    <xf numFmtId="4" fontId="3" fillId="0" borderId="10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16" fillId="3" borderId="29" xfId="0" applyFont="1" applyFill="1" applyBorder="1" applyAlignment="1">
      <alignment horizontal="left" vertical="center"/>
    </xf>
    <xf numFmtId="4" fontId="3" fillId="3" borderId="31" xfId="0" applyNumberFormat="1" applyFont="1" applyFill="1" applyBorder="1" applyAlignment="1">
      <alignment horizontal="right" vertical="center"/>
    </xf>
    <xf numFmtId="4" fontId="3" fillId="3" borderId="28" xfId="0" applyNumberFormat="1" applyFont="1" applyFill="1" applyBorder="1" applyAlignment="1">
      <alignment vertical="center"/>
    </xf>
    <xf numFmtId="4" fontId="3" fillId="3" borderId="29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horizontal="right"/>
    </xf>
    <xf numFmtId="0" fontId="3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4" fontId="3" fillId="3" borderId="29" xfId="0" applyNumberFormat="1" applyFont="1" applyFill="1" applyBorder="1" applyAlignment="1">
      <alignment horizontal="right" vertical="center"/>
    </xf>
    <xf numFmtId="14" fontId="2" fillId="3" borderId="39" xfId="0" applyNumberFormat="1" applyFont="1" applyFill="1" applyBorder="1"/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2" fillId="3" borderId="31" xfId="0" applyNumberFormat="1" applyFont="1" applyFill="1" applyBorder="1" applyAlignment="1">
      <alignment horizontal="left" vertical="center"/>
    </xf>
    <xf numFmtId="4" fontId="2" fillId="3" borderId="36" xfId="0" applyNumberFormat="1" applyFont="1" applyFill="1" applyBorder="1" applyAlignment="1">
      <alignment horizontal="left" vertical="center"/>
    </xf>
    <xf numFmtId="4" fontId="2" fillId="3" borderId="50" xfId="0" applyNumberFormat="1" applyFont="1" applyFill="1" applyBorder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4" fontId="3" fillId="0" borderId="60" xfId="0" applyNumberFormat="1" applyFont="1" applyBorder="1" applyAlignment="1">
      <alignment horizontal="center" vertical="center" wrapText="1"/>
    </xf>
    <xf numFmtId="4" fontId="3" fillId="0" borderId="5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center" vertical="center" wrapText="1"/>
    </xf>
    <xf numFmtId="4" fontId="3" fillId="0" borderId="5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4" fontId="2" fillId="0" borderId="39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7030A0"/>
    <pageSetUpPr fitToPage="1"/>
  </sheetPr>
  <dimension ref="A1:Z295"/>
  <sheetViews>
    <sheetView view="pageBreakPreview" zoomScale="85" zoomScaleNormal="85" zoomScaleSheetLayoutView="85" workbookViewId="0">
      <selection activeCell="O17" sqref="O17"/>
    </sheetView>
  </sheetViews>
  <sheetFormatPr defaultColWidth="9.140625" defaultRowHeight="15" x14ac:dyDescent="0.25"/>
  <cols>
    <col min="1" max="1" width="4.28515625" style="2" customWidth="1"/>
    <col min="2" max="2" width="33.28515625" style="8" customWidth="1"/>
    <col min="3" max="3" width="3.85546875" style="8" customWidth="1"/>
    <col min="4" max="4" width="4.140625" style="8" customWidth="1"/>
    <col min="5" max="5" width="4" style="8" customWidth="1"/>
    <col min="6" max="6" width="5.140625" style="8" customWidth="1"/>
    <col min="7" max="7" width="5" style="8" customWidth="1"/>
    <col min="8" max="8" width="4.42578125" style="8" customWidth="1"/>
    <col min="9" max="9" width="4.5703125" style="8" customWidth="1"/>
    <col min="10" max="10" width="5.42578125" style="8" customWidth="1"/>
    <col min="11" max="11" width="15.140625" style="9" customWidth="1"/>
    <col min="12" max="12" width="15.42578125" style="2" customWidth="1"/>
    <col min="13" max="13" width="14.28515625" style="2" customWidth="1"/>
    <col min="14" max="14" width="5" style="2" customWidth="1"/>
    <col min="15" max="15" width="15.5703125" style="2" customWidth="1"/>
    <col min="16" max="16" width="15.28515625" style="9" customWidth="1"/>
    <col min="17" max="17" width="15.85546875" style="2" customWidth="1"/>
    <col min="18" max="18" width="15.5703125" style="2" customWidth="1"/>
    <col min="19" max="19" width="15.140625" style="2" customWidth="1"/>
    <col min="20" max="21" width="15.5703125" style="2" hidden="1" customWidth="1"/>
    <col min="22" max="22" width="13.7109375" style="2" hidden="1" customWidth="1"/>
    <col min="23" max="25" width="15.140625" style="2" hidden="1" customWidth="1"/>
    <col min="26" max="26" width="16" style="2" hidden="1" customWidth="1"/>
    <col min="27" max="16384" width="9.140625" style="2"/>
  </cols>
  <sheetData>
    <row r="1" spans="1:26" ht="15" customHeight="1" x14ac:dyDescent="0.25">
      <c r="A1" s="731" t="s">
        <v>874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606"/>
      <c r="V1" s="503"/>
      <c r="X1" s="503"/>
      <c r="Y1" s="503"/>
    </row>
    <row r="2" spans="1:26" ht="15" customHeight="1" x14ac:dyDescent="0.25">
      <c r="A2" s="731"/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606"/>
      <c r="V2" s="503"/>
      <c r="X2" s="503"/>
      <c r="Y2" s="503"/>
    </row>
    <row r="3" spans="1:26" ht="15.75" customHeight="1" thickBot="1" x14ac:dyDescent="0.3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3"/>
      <c r="U3" s="607"/>
      <c r="V3" s="471"/>
      <c r="X3" s="471"/>
      <c r="Y3" s="471"/>
    </row>
    <row r="4" spans="1:26" s="3" customFormat="1" ht="32.25" customHeight="1" x14ac:dyDescent="0.25">
      <c r="A4" s="744" t="s">
        <v>0</v>
      </c>
      <c r="B4" s="742" t="s">
        <v>1</v>
      </c>
      <c r="C4" s="746" t="s">
        <v>71</v>
      </c>
      <c r="D4" s="747"/>
      <c r="E4" s="748"/>
      <c r="F4" s="749"/>
      <c r="G4" s="746" t="s">
        <v>72</v>
      </c>
      <c r="H4" s="747"/>
      <c r="I4" s="748"/>
      <c r="J4" s="749"/>
      <c r="K4" s="736" t="s">
        <v>535</v>
      </c>
      <c r="L4" s="737"/>
      <c r="M4" s="737"/>
      <c r="N4" s="738"/>
      <c r="O4" s="739"/>
      <c r="P4" s="740" t="s">
        <v>33</v>
      </c>
      <c r="Q4" s="741"/>
      <c r="R4" s="741"/>
      <c r="S4" s="741"/>
      <c r="T4" s="729" t="s">
        <v>694</v>
      </c>
      <c r="U4" s="729" t="s">
        <v>771</v>
      </c>
      <c r="V4" s="729" t="s">
        <v>703</v>
      </c>
      <c r="W4" s="729" t="s">
        <v>702</v>
      </c>
      <c r="X4" s="741" t="s">
        <v>841</v>
      </c>
      <c r="Y4" s="729" t="s">
        <v>772</v>
      </c>
      <c r="Z4" s="751" t="s">
        <v>842</v>
      </c>
    </row>
    <row r="5" spans="1:26" s="3" customFormat="1" ht="52.5" customHeight="1" x14ac:dyDescent="0.25">
      <c r="A5" s="745"/>
      <c r="B5" s="743"/>
      <c r="C5" s="100" t="s">
        <v>73</v>
      </c>
      <c r="D5" s="101" t="s">
        <v>76</v>
      </c>
      <c r="E5" s="102" t="s">
        <v>75</v>
      </c>
      <c r="F5" s="103" t="s">
        <v>74</v>
      </c>
      <c r="G5" s="100" t="s">
        <v>73</v>
      </c>
      <c r="H5" s="101" t="s">
        <v>76</v>
      </c>
      <c r="I5" s="102" t="s">
        <v>75</v>
      </c>
      <c r="J5" s="103" t="s">
        <v>74</v>
      </c>
      <c r="K5" s="37" t="s">
        <v>2</v>
      </c>
      <c r="L5" s="500" t="s">
        <v>3</v>
      </c>
      <c r="M5" s="500" t="s">
        <v>4</v>
      </c>
      <c r="N5" s="681" t="s">
        <v>74</v>
      </c>
      <c r="O5" s="501" t="s">
        <v>5</v>
      </c>
      <c r="P5" s="502" t="s">
        <v>2</v>
      </c>
      <c r="Q5" s="500" t="s">
        <v>3</v>
      </c>
      <c r="R5" s="500" t="s">
        <v>4</v>
      </c>
      <c r="S5" s="519" t="s">
        <v>5</v>
      </c>
      <c r="T5" s="730"/>
      <c r="U5" s="730"/>
      <c r="V5" s="730"/>
      <c r="W5" s="730"/>
      <c r="X5" s="750"/>
      <c r="Y5" s="730"/>
      <c r="Z5" s="752"/>
    </row>
    <row r="6" spans="1:26" s="5" customFormat="1" ht="17.25" customHeight="1" x14ac:dyDescent="0.25">
      <c r="A6" s="10">
        <v>1</v>
      </c>
      <c r="B6" s="4" t="s">
        <v>8</v>
      </c>
      <c r="C6" s="112">
        <v>26</v>
      </c>
      <c r="D6" s="113">
        <v>11</v>
      </c>
      <c r="E6" s="114">
        <v>4</v>
      </c>
      <c r="F6" s="111">
        <f>D6/C6</f>
        <v>0.42307692307692307</v>
      </c>
      <c r="G6" s="112">
        <v>63</v>
      </c>
      <c r="H6" s="113">
        <v>28</v>
      </c>
      <c r="I6" s="114">
        <v>21</v>
      </c>
      <c r="J6" s="111">
        <f>H6/G6</f>
        <v>0.44444444444444442</v>
      </c>
      <c r="K6" s="38">
        <f>L6+M6+O6</f>
        <v>69328956.299999997</v>
      </c>
      <c r="L6" s="14">
        <f>'Алек-Сах'!E6</f>
        <v>55498144.654642403</v>
      </c>
      <c r="M6" s="14">
        <f>'Алек-Сах'!F6</f>
        <v>3466447.8265</v>
      </c>
      <c r="N6" s="682">
        <f>M6/K6</f>
        <v>5.0000000165875857E-2</v>
      </c>
      <c r="O6" s="14">
        <f>'Алек-Сах'!G6</f>
        <v>10364363.818857595</v>
      </c>
      <c r="P6" s="15">
        <f>Q6+R6+S6</f>
        <v>40350481.530000001</v>
      </c>
      <c r="Q6" s="14">
        <f>'Алек-Сах'!I6</f>
        <v>33351463.360000003</v>
      </c>
      <c r="R6" s="45">
        <f>'Алек-Сах'!J6</f>
        <v>2017524.0599999998</v>
      </c>
      <c r="S6" s="520">
        <f>'Алек-Сах'!K6</f>
        <v>4981494.1099999985</v>
      </c>
      <c r="T6" s="523">
        <v>26077280.180460598</v>
      </c>
      <c r="U6" s="523">
        <v>13015884.299999999</v>
      </c>
      <c r="V6" s="517">
        <v>1944325.3800000001</v>
      </c>
      <c r="W6" s="59">
        <v>11071558.92</v>
      </c>
      <c r="X6" s="515">
        <v>20073185.890000001</v>
      </c>
      <c r="Y6" s="517">
        <f>(X6-W6)*80%</f>
        <v>7201301.5760000013</v>
      </c>
      <c r="Z6" s="59">
        <f>W6+Y6</f>
        <v>18272860.495999999</v>
      </c>
    </row>
    <row r="7" spans="1:26" s="5" customFormat="1" ht="17.25" customHeight="1" x14ac:dyDescent="0.25">
      <c r="A7" s="10">
        <v>2</v>
      </c>
      <c r="B7" s="4" t="s">
        <v>9</v>
      </c>
      <c r="C7" s="112">
        <v>23</v>
      </c>
      <c r="D7" s="113">
        <v>19</v>
      </c>
      <c r="E7" s="114">
        <v>19</v>
      </c>
      <c r="F7" s="111">
        <f t="shared" ref="F7:F26" si="0">D7/C7</f>
        <v>0.82608695652173914</v>
      </c>
      <c r="G7" s="112">
        <v>27</v>
      </c>
      <c r="H7" s="113">
        <v>23</v>
      </c>
      <c r="I7" s="114">
        <v>23</v>
      </c>
      <c r="J7" s="111">
        <f t="shared" ref="J7:J26" si="1">H7/G7</f>
        <v>0.85185185185185186</v>
      </c>
      <c r="K7" s="38">
        <f t="shared" ref="K7:K25" si="2">L7+M7+O7</f>
        <v>74546036.019999981</v>
      </c>
      <c r="L7" s="12">
        <f>Анива!E6</f>
        <v>54386797.000974633</v>
      </c>
      <c r="M7" s="12">
        <f>Анива!F6</f>
        <v>3727301.7943855743</v>
      </c>
      <c r="N7" s="682">
        <f t="shared" ref="N7:N26" si="3">M7/K7</f>
        <v>4.9999999911270604E-2</v>
      </c>
      <c r="O7" s="12">
        <f>Анива!G6</f>
        <v>16431937.224639768</v>
      </c>
      <c r="P7" s="15">
        <f t="shared" ref="P7:P25" si="4">Q7+R7+S7</f>
        <v>74546036.019999996</v>
      </c>
      <c r="Q7" s="12">
        <f>Анива!I6</f>
        <v>54386797.039999984</v>
      </c>
      <c r="R7" s="46">
        <f>Анива!J6</f>
        <v>3727301.77</v>
      </c>
      <c r="S7" s="521">
        <f>Анива!K6</f>
        <v>16431937.210000003</v>
      </c>
      <c r="T7" s="524">
        <v>18518456.467413999</v>
      </c>
      <c r="U7" s="524">
        <v>18471719.610000003</v>
      </c>
      <c r="V7" s="517">
        <v>2273118.13</v>
      </c>
      <c r="W7" s="59">
        <v>16198601.48</v>
      </c>
      <c r="X7" s="515">
        <v>28276299.41</v>
      </c>
      <c r="Y7" s="517">
        <f t="shared" ref="Y7:Y25" si="5">(X7-W7)*80%</f>
        <v>9662158.3440000005</v>
      </c>
      <c r="Z7" s="59">
        <f t="shared" ref="Z7:Z25" si="6">W7+Y7</f>
        <v>25860759.824000001</v>
      </c>
    </row>
    <row r="8" spans="1:26" s="5" customFormat="1" ht="17.25" customHeight="1" x14ac:dyDescent="0.25">
      <c r="A8" s="10">
        <v>3</v>
      </c>
      <c r="B8" s="4" t="s">
        <v>10</v>
      </c>
      <c r="C8" s="112">
        <v>1</v>
      </c>
      <c r="D8" s="113"/>
      <c r="E8" s="114"/>
      <c r="F8" s="111">
        <f t="shared" si="0"/>
        <v>0</v>
      </c>
      <c r="G8" s="112">
        <v>5</v>
      </c>
      <c r="H8" s="113">
        <v>4</v>
      </c>
      <c r="I8" s="114">
        <v>4</v>
      </c>
      <c r="J8" s="111">
        <f t="shared" si="1"/>
        <v>0.8</v>
      </c>
      <c r="K8" s="38">
        <f t="shared" si="2"/>
        <v>4167645.3000000007</v>
      </c>
      <c r="L8" s="12">
        <f>Бошняково!E6</f>
        <v>3590384.7494970001</v>
      </c>
      <c r="M8" s="12">
        <f>Бошняково!F6</f>
        <v>41676.453000000001</v>
      </c>
      <c r="N8" s="682">
        <f t="shared" si="3"/>
        <v>9.9999999999999985E-3</v>
      </c>
      <c r="O8" s="12">
        <f>Бошняково!G6</f>
        <v>535584.09750300017</v>
      </c>
      <c r="P8" s="15">
        <f t="shared" si="4"/>
        <v>4167645.3000000003</v>
      </c>
      <c r="Q8" s="12">
        <f>Бошняково!I6</f>
        <v>3590384.75</v>
      </c>
      <c r="R8" s="46">
        <f>Бошняково!J6</f>
        <v>41676.450000000004</v>
      </c>
      <c r="S8" s="521">
        <f>Бошняково!K6</f>
        <v>535584.1</v>
      </c>
      <c r="T8" s="524">
        <v>2512162.82261003</v>
      </c>
      <c r="U8" s="524">
        <v>1515073.2</v>
      </c>
      <c r="V8" s="517">
        <v>660276.62</v>
      </c>
      <c r="W8" s="59">
        <v>854796.58</v>
      </c>
      <c r="X8" s="515">
        <v>2247310.3099999996</v>
      </c>
      <c r="Y8" s="517">
        <f t="shared" si="5"/>
        <v>1114010.9839999997</v>
      </c>
      <c r="Z8" s="59">
        <f t="shared" si="6"/>
        <v>1968807.5639999998</v>
      </c>
    </row>
    <row r="9" spans="1:26" s="5" customFormat="1" ht="17.25" customHeight="1" x14ac:dyDescent="0.25">
      <c r="A9" s="10">
        <v>4</v>
      </c>
      <c r="B9" s="4" t="s">
        <v>12</v>
      </c>
      <c r="C9" s="112">
        <v>23</v>
      </c>
      <c r="D9" s="113">
        <v>8</v>
      </c>
      <c r="E9" s="114">
        <v>6</v>
      </c>
      <c r="F9" s="111">
        <f t="shared" si="0"/>
        <v>0.34782608695652173</v>
      </c>
      <c r="G9" s="112">
        <v>32</v>
      </c>
      <c r="H9" s="113">
        <v>16</v>
      </c>
      <c r="I9" s="114">
        <v>14</v>
      </c>
      <c r="J9" s="111">
        <f t="shared" si="1"/>
        <v>0.5</v>
      </c>
      <c r="K9" s="38">
        <f t="shared" si="2"/>
        <v>61396587.140000001</v>
      </c>
      <c r="L9" s="12">
        <f>Долинск!E6</f>
        <v>45268499.518087998</v>
      </c>
      <c r="M9" s="12">
        <f>Долинск!F6</f>
        <v>2969796.5785000003</v>
      </c>
      <c r="N9" s="682">
        <f t="shared" si="3"/>
        <v>4.8370711090636044E-2</v>
      </c>
      <c r="O9" s="12">
        <f>Долинск!G6</f>
        <v>13158291.043411998</v>
      </c>
      <c r="P9" s="15">
        <f t="shared" si="4"/>
        <v>55563806.670000002</v>
      </c>
      <c r="Q9" s="12">
        <f>Долинск!I6</f>
        <v>40659378.050000004</v>
      </c>
      <c r="R9" s="46">
        <f>Долинск!J6</f>
        <v>2678157.5699999998</v>
      </c>
      <c r="S9" s="521">
        <f>Долинск!K6</f>
        <v>12226271.049999999</v>
      </c>
      <c r="T9" s="524">
        <v>32804421.371728301</v>
      </c>
      <c r="U9" s="524">
        <v>30675297.449999996</v>
      </c>
      <c r="V9" s="517">
        <v>3097357.861</v>
      </c>
      <c r="W9" s="59">
        <v>27577939.588999998</v>
      </c>
      <c r="X9" s="515">
        <v>47398052.54999999</v>
      </c>
      <c r="Y9" s="517">
        <f t="shared" si="5"/>
        <v>15856090.368799994</v>
      </c>
      <c r="Z9" s="59">
        <f t="shared" si="6"/>
        <v>43434029.957799993</v>
      </c>
    </row>
    <row r="10" spans="1:26" s="5" customFormat="1" ht="17.25" customHeight="1" x14ac:dyDescent="0.25">
      <c r="A10" s="10">
        <v>5</v>
      </c>
      <c r="B10" s="4" t="s">
        <v>13</v>
      </c>
      <c r="C10" s="112">
        <v>54</v>
      </c>
      <c r="D10" s="113">
        <v>33</v>
      </c>
      <c r="E10" s="114">
        <v>32</v>
      </c>
      <c r="F10" s="111">
        <f t="shared" si="0"/>
        <v>0.61111111111111116</v>
      </c>
      <c r="G10" s="112">
        <v>75</v>
      </c>
      <c r="H10" s="113">
        <v>55</v>
      </c>
      <c r="I10" s="114">
        <v>49</v>
      </c>
      <c r="J10" s="111">
        <f t="shared" si="1"/>
        <v>0.73333333333333328</v>
      </c>
      <c r="K10" s="38">
        <f t="shared" si="2"/>
        <v>222358960.21000001</v>
      </c>
      <c r="L10" s="12">
        <f>Корсаков!E6</f>
        <v>167356490.16263831</v>
      </c>
      <c r="M10" s="12">
        <f>Корсаков!F6</f>
        <v>11113015.244499998</v>
      </c>
      <c r="N10" s="682">
        <f t="shared" si="3"/>
        <v>4.9977816203154828E-2</v>
      </c>
      <c r="O10" s="310">
        <f>Корсаков!G6</f>
        <v>43889454.802861698</v>
      </c>
      <c r="P10" s="15">
        <f t="shared" si="4"/>
        <v>206618041.38999999</v>
      </c>
      <c r="Q10" s="12">
        <f>Корсаков!I6</f>
        <v>154093685.63</v>
      </c>
      <c r="R10" s="46">
        <f>Корсаков!J6</f>
        <v>10327661.939999999</v>
      </c>
      <c r="S10" s="521">
        <f>Корсаков!K6</f>
        <v>42196693.820000008</v>
      </c>
      <c r="T10" s="524">
        <v>72550833.828395396</v>
      </c>
      <c r="U10" s="524">
        <v>52345455.369999997</v>
      </c>
      <c r="V10" s="517">
        <v>14553065.929724867</v>
      </c>
      <c r="W10" s="59">
        <v>37792389.440275133</v>
      </c>
      <c r="X10" s="515">
        <v>81408003.169999987</v>
      </c>
      <c r="Y10" s="517">
        <f t="shared" si="5"/>
        <v>34892490.983779885</v>
      </c>
      <c r="Z10" s="59">
        <f t="shared" si="6"/>
        <v>72684880.42405501</v>
      </c>
    </row>
    <row r="11" spans="1:26" s="5" customFormat="1" ht="17.25" customHeight="1" x14ac:dyDescent="0.25">
      <c r="A11" s="10">
        <v>6</v>
      </c>
      <c r="B11" s="4" t="s">
        <v>14</v>
      </c>
      <c r="C11" s="112">
        <v>9</v>
      </c>
      <c r="D11" s="113"/>
      <c r="E11" s="114"/>
      <c r="F11" s="111">
        <f t="shared" si="0"/>
        <v>0</v>
      </c>
      <c r="G11" s="112">
        <v>33</v>
      </c>
      <c r="H11" s="113"/>
      <c r="I11" s="114"/>
      <c r="J11" s="111">
        <f t="shared" si="1"/>
        <v>0</v>
      </c>
      <c r="K11" s="38">
        <f t="shared" si="2"/>
        <v>1275968.42</v>
      </c>
      <c r="L11" s="12">
        <f>Курильск!E6</f>
        <v>1143114.5881095999</v>
      </c>
      <c r="M11" s="12">
        <f>Курильск!F6</f>
        <v>63798.421000000002</v>
      </c>
      <c r="N11" s="682">
        <f t="shared" si="3"/>
        <v>0.05</v>
      </c>
      <c r="O11" s="12">
        <f>Курильск!G6</f>
        <v>69055.410890400031</v>
      </c>
      <c r="P11" s="15">
        <f t="shared" si="4"/>
        <v>1275968.42</v>
      </c>
      <c r="Q11" s="12">
        <f>Курильск!I6</f>
        <v>1143114.5900000001</v>
      </c>
      <c r="R11" s="46">
        <f>Курильск!J6</f>
        <v>63798.42</v>
      </c>
      <c r="S11" s="521">
        <f>Курильск!K6</f>
        <v>69055.41</v>
      </c>
      <c r="T11" s="524">
        <v>12261733.551006701</v>
      </c>
      <c r="U11" s="524">
        <v>2476923.87</v>
      </c>
      <c r="V11" s="517">
        <v>747486.29</v>
      </c>
      <c r="W11" s="59">
        <v>1729437.58</v>
      </c>
      <c r="X11" s="515">
        <v>4281035.59</v>
      </c>
      <c r="Y11" s="517">
        <f t="shared" si="5"/>
        <v>2041278.4079999998</v>
      </c>
      <c r="Z11" s="59">
        <f t="shared" si="6"/>
        <v>3770715.9879999999</v>
      </c>
    </row>
    <row r="12" spans="1:26" s="5" customFormat="1" ht="17.25" customHeight="1" x14ac:dyDescent="0.25">
      <c r="A12" s="10">
        <v>7</v>
      </c>
      <c r="B12" s="4" t="s">
        <v>15</v>
      </c>
      <c r="C12" s="112">
        <v>6</v>
      </c>
      <c r="D12" s="113"/>
      <c r="E12" s="114"/>
      <c r="F12" s="111">
        <f t="shared" si="0"/>
        <v>0</v>
      </c>
      <c r="G12" s="112">
        <v>9</v>
      </c>
      <c r="H12" s="113"/>
      <c r="I12" s="114"/>
      <c r="J12" s="111">
        <f t="shared" si="1"/>
        <v>0</v>
      </c>
      <c r="K12" s="38">
        <f t="shared" si="2"/>
        <v>734416.16</v>
      </c>
      <c r="L12" s="12">
        <f>Макаров!E6</f>
        <v>565400.01729600003</v>
      </c>
      <c r="M12" s="12">
        <f>Макаров!F6</f>
        <v>36720.808000000005</v>
      </c>
      <c r="N12" s="682">
        <f t="shared" si="3"/>
        <v>0.05</v>
      </c>
      <c r="O12" s="12">
        <f>Макаров!G6</f>
        <v>132295.33470400001</v>
      </c>
      <c r="P12" s="15">
        <f>Q12+R12+S12</f>
        <v>734416.16</v>
      </c>
      <c r="Q12" s="12">
        <f>Макаров!I6</f>
        <v>565400.02</v>
      </c>
      <c r="R12" s="12">
        <f>Макаров!J6</f>
        <v>36720.81</v>
      </c>
      <c r="S12" s="65">
        <f>Макаров!K6</f>
        <v>132295.32999999999</v>
      </c>
      <c r="T12" s="59">
        <v>17219156.290258199</v>
      </c>
      <c r="U12" s="59">
        <v>11061916.510000002</v>
      </c>
      <c r="V12" s="517">
        <v>2217736</v>
      </c>
      <c r="W12" s="59">
        <v>8844180.5099999998</v>
      </c>
      <c r="X12" s="515">
        <v>16963100.100000001</v>
      </c>
      <c r="Y12" s="517">
        <f t="shared" si="5"/>
        <v>6495135.6720000021</v>
      </c>
      <c r="Z12" s="59">
        <f t="shared" si="6"/>
        <v>15339316.182000002</v>
      </c>
    </row>
    <row r="13" spans="1:26" s="5" customFormat="1" ht="17.25" customHeight="1" x14ac:dyDescent="0.25">
      <c r="A13" s="10">
        <v>8</v>
      </c>
      <c r="B13" s="4" t="s">
        <v>16</v>
      </c>
      <c r="C13" s="112">
        <v>17</v>
      </c>
      <c r="D13" s="113">
        <v>11</v>
      </c>
      <c r="E13" s="114">
        <v>10</v>
      </c>
      <c r="F13" s="111">
        <f t="shared" si="0"/>
        <v>0.6470588235294118</v>
      </c>
      <c r="G13" s="112">
        <v>19</v>
      </c>
      <c r="H13" s="113">
        <v>13</v>
      </c>
      <c r="I13" s="114">
        <v>12</v>
      </c>
      <c r="J13" s="111">
        <f t="shared" si="1"/>
        <v>0.68421052631578949</v>
      </c>
      <c r="K13" s="38">
        <f t="shared" si="2"/>
        <v>68596064.719999984</v>
      </c>
      <c r="L13" s="12">
        <f>Невельск!E6</f>
        <v>47923257.394861288</v>
      </c>
      <c r="M13" s="12">
        <f>Невельск!F6</f>
        <v>3429803.2229999998</v>
      </c>
      <c r="N13" s="682">
        <f t="shared" si="3"/>
        <v>4.9999999810484766E-2</v>
      </c>
      <c r="O13" s="16">
        <f>Невельск!G6</f>
        <v>17243004.102138698</v>
      </c>
      <c r="P13" s="15">
        <f t="shared" si="4"/>
        <v>68053680.459999993</v>
      </c>
      <c r="Q13" s="12">
        <f>Невельск!I6</f>
        <v>47401180.329999991</v>
      </c>
      <c r="R13" s="46">
        <f>Невельск!J6</f>
        <v>3402684.02</v>
      </c>
      <c r="S13" s="521">
        <f>Невельск!K6</f>
        <v>17249816.109999999</v>
      </c>
      <c r="T13" s="524">
        <v>32476553.544558499</v>
      </c>
      <c r="U13" s="524">
        <v>24120589.199999999</v>
      </c>
      <c r="V13" s="517">
        <v>8472821.8825262394</v>
      </c>
      <c r="W13" s="59">
        <v>15647767.31747376</v>
      </c>
      <c r="X13" s="515">
        <v>37650967.300000004</v>
      </c>
      <c r="Y13" s="517">
        <f t="shared" si="5"/>
        <v>17602559.986020993</v>
      </c>
      <c r="Z13" s="59">
        <f t="shared" si="6"/>
        <v>33250327.303494751</v>
      </c>
    </row>
    <row r="14" spans="1:26" s="5" customFormat="1" ht="17.25" customHeight="1" x14ac:dyDescent="0.25">
      <c r="A14" s="10">
        <v>9</v>
      </c>
      <c r="B14" s="4" t="s">
        <v>17</v>
      </c>
      <c r="C14" s="112">
        <v>7</v>
      </c>
      <c r="D14" s="113">
        <v>1</v>
      </c>
      <c r="E14" s="114">
        <v>1</v>
      </c>
      <c r="F14" s="111">
        <f t="shared" si="0"/>
        <v>0.14285714285714285</v>
      </c>
      <c r="G14" s="112">
        <v>7</v>
      </c>
      <c r="H14" s="113">
        <v>1</v>
      </c>
      <c r="I14" s="114">
        <v>1</v>
      </c>
      <c r="J14" s="111">
        <f t="shared" si="1"/>
        <v>0.14285714285714285</v>
      </c>
      <c r="K14" s="344">
        <f t="shared" si="2"/>
        <v>3798393.92</v>
      </c>
      <c r="L14" s="310">
        <f>Ноглики!E6</f>
        <v>2794098.5675520003</v>
      </c>
      <c r="M14" s="310">
        <f>Ноглики!F6</f>
        <v>189919.69600000003</v>
      </c>
      <c r="N14" s="682">
        <f t="shared" si="3"/>
        <v>5.000000000000001E-2</v>
      </c>
      <c r="O14" s="12">
        <f>Ноглики!G6</f>
        <v>814375.65644799976</v>
      </c>
      <c r="P14" s="15">
        <f t="shared" si="4"/>
        <v>3798393.92</v>
      </c>
      <c r="Q14" s="12">
        <f>Ноглики!I6</f>
        <v>2794098.5599999996</v>
      </c>
      <c r="R14" s="345">
        <f>Ноглики!J6</f>
        <v>189919.69999999998</v>
      </c>
      <c r="S14" s="521">
        <f>Ноглики!K6</f>
        <v>814375.66</v>
      </c>
      <c r="T14" s="524">
        <v>7058710.29276904</v>
      </c>
      <c r="U14" s="524">
        <v>8448168.1899999995</v>
      </c>
      <c r="V14" s="517">
        <v>1452028.86</v>
      </c>
      <c r="W14" s="59">
        <v>6996139.3299999991</v>
      </c>
      <c r="X14" s="515">
        <v>13590305.229999999</v>
      </c>
      <c r="Y14" s="517">
        <f t="shared" si="5"/>
        <v>5275332.72</v>
      </c>
      <c r="Z14" s="59">
        <f t="shared" si="6"/>
        <v>12271472.049999999</v>
      </c>
    </row>
    <row r="15" spans="1:26" s="5" customFormat="1" ht="17.25" customHeight="1" x14ac:dyDescent="0.25">
      <c r="A15" s="10">
        <v>10</v>
      </c>
      <c r="B15" s="6" t="s">
        <v>18</v>
      </c>
      <c r="C15" s="112">
        <v>34</v>
      </c>
      <c r="D15" s="113">
        <v>21</v>
      </c>
      <c r="E15" s="114">
        <v>8</v>
      </c>
      <c r="F15" s="111">
        <f t="shared" si="0"/>
        <v>0.61764705882352944</v>
      </c>
      <c r="G15" s="112">
        <v>115</v>
      </c>
      <c r="H15" s="113">
        <v>103</v>
      </c>
      <c r="I15" s="114">
        <v>87</v>
      </c>
      <c r="J15" s="111">
        <f t="shared" si="1"/>
        <v>0.89565217391304353</v>
      </c>
      <c r="K15" s="344">
        <f t="shared" si="2"/>
        <v>194954382.01000005</v>
      </c>
      <c r="L15" s="310">
        <f>Оха!E6</f>
        <v>154267261.28752559</v>
      </c>
      <c r="M15" s="310">
        <f>Оха!F6</f>
        <v>9752483.469974149</v>
      </c>
      <c r="N15" s="682">
        <f t="shared" si="3"/>
        <v>5.0024438381045991E-2</v>
      </c>
      <c r="O15" s="12">
        <f>Оха!G6</f>
        <v>30934637.252500284</v>
      </c>
      <c r="P15" s="15">
        <f t="shared" si="4"/>
        <v>147383286.78000003</v>
      </c>
      <c r="Q15" s="12">
        <f>Оха!I6</f>
        <v>120840193.36000003</v>
      </c>
      <c r="R15" s="12">
        <f>Оха!J6</f>
        <v>7369194.3999999985</v>
      </c>
      <c r="S15" s="521">
        <f>Оха!K6</f>
        <v>19173899.019999996</v>
      </c>
      <c r="T15" s="524">
        <v>48916502.946308598</v>
      </c>
      <c r="U15" s="524">
        <v>25019233.319999997</v>
      </c>
      <c r="V15" s="517">
        <v>5581310.4930757554</v>
      </c>
      <c r="W15" s="59">
        <v>19437922.826924246</v>
      </c>
      <c r="X15" s="515">
        <v>39239505.609999999</v>
      </c>
      <c r="Y15" s="517">
        <f t="shared" si="5"/>
        <v>15841266.226460604</v>
      </c>
      <c r="Z15" s="59">
        <f t="shared" si="6"/>
        <v>35279189.053384848</v>
      </c>
    </row>
    <row r="16" spans="1:26" ht="17.25" customHeight="1" x14ac:dyDescent="0.25">
      <c r="A16" s="10">
        <v>11</v>
      </c>
      <c r="B16" s="7" t="s">
        <v>19</v>
      </c>
      <c r="C16" s="112">
        <v>16</v>
      </c>
      <c r="D16" s="113">
        <v>6</v>
      </c>
      <c r="E16" s="114">
        <v>6</v>
      </c>
      <c r="F16" s="111">
        <f t="shared" si="0"/>
        <v>0.375</v>
      </c>
      <c r="G16" s="112">
        <v>54</v>
      </c>
      <c r="H16" s="113">
        <v>23</v>
      </c>
      <c r="I16" s="114">
        <v>16</v>
      </c>
      <c r="J16" s="111">
        <f t="shared" si="1"/>
        <v>0.42592592592592593</v>
      </c>
      <c r="K16" s="38">
        <f t="shared" si="2"/>
        <v>78894651.065199986</v>
      </c>
      <c r="L16" s="12">
        <f>Поронайск!E6</f>
        <v>58475994.300123893</v>
      </c>
      <c r="M16" s="12">
        <f>Поронайск!F6</f>
        <v>3759846.9492736803</v>
      </c>
      <c r="N16" s="682">
        <f t="shared" si="3"/>
        <v>4.7656550837223095E-2</v>
      </c>
      <c r="O16" s="12">
        <f>Поронайск!G6</f>
        <v>16658809.815802416</v>
      </c>
      <c r="P16" s="15">
        <f t="shared" si="4"/>
        <v>68829427.040000007</v>
      </c>
      <c r="Q16" s="12">
        <f>Поронайск!I6</f>
        <v>50372266.080000006</v>
      </c>
      <c r="R16" s="12">
        <f>Поронайск!J6</f>
        <v>3256585.76</v>
      </c>
      <c r="S16" s="521">
        <f>Поронайск!K6</f>
        <v>15200575.200000001</v>
      </c>
      <c r="T16" s="524">
        <v>40822486.890262499</v>
      </c>
      <c r="U16" s="524">
        <v>34395949.520000003</v>
      </c>
      <c r="V16" s="508">
        <v>4769336.6500000004</v>
      </c>
      <c r="W16" s="59">
        <v>29626612.870000005</v>
      </c>
      <c r="X16" s="516">
        <v>50612123.300000012</v>
      </c>
      <c r="Y16" s="517">
        <f t="shared" si="5"/>
        <v>16788408.344000008</v>
      </c>
      <c r="Z16" s="59">
        <f t="shared" si="6"/>
        <v>46415021.214000016</v>
      </c>
    </row>
    <row r="17" spans="1:26" ht="17.25" customHeight="1" x14ac:dyDescent="0.25">
      <c r="A17" s="10">
        <v>12</v>
      </c>
      <c r="B17" s="7" t="s">
        <v>20</v>
      </c>
      <c r="C17" s="112">
        <v>15</v>
      </c>
      <c r="D17" s="113"/>
      <c r="E17" s="114"/>
      <c r="F17" s="111">
        <f t="shared" si="0"/>
        <v>0</v>
      </c>
      <c r="G17" s="112">
        <v>19</v>
      </c>
      <c r="H17" s="113"/>
      <c r="I17" s="114"/>
      <c r="J17" s="111">
        <f t="shared" si="1"/>
        <v>0</v>
      </c>
      <c r="K17" s="38">
        <f t="shared" si="2"/>
        <v>3089780.94</v>
      </c>
      <c r="L17" s="12">
        <f>'Северо-Курильск'!E6</f>
        <v>2477379.6880343999</v>
      </c>
      <c r="M17" s="12">
        <f>'Северо-Курильск'!F6</f>
        <v>154489.046</v>
      </c>
      <c r="N17" s="682">
        <f t="shared" si="3"/>
        <v>4.9999999676352463E-2</v>
      </c>
      <c r="O17" s="12">
        <f>'Северо-Курильск'!G6</f>
        <v>457912.20596559998</v>
      </c>
      <c r="P17" s="15">
        <f t="shared" si="4"/>
        <v>3089780.9400000004</v>
      </c>
      <c r="Q17" s="12">
        <f>'Северо-Курильск'!I6</f>
        <v>2477379.6800000006</v>
      </c>
      <c r="R17" s="12">
        <f>'Северо-Курильск'!J6</f>
        <v>154489.04</v>
      </c>
      <c r="S17" s="521">
        <f>'Северо-Курильск'!K6</f>
        <v>457912.21999999991</v>
      </c>
      <c r="T17" s="524">
        <v>7676231.5217068195</v>
      </c>
      <c r="U17" s="524">
        <v>3284489.3100000005</v>
      </c>
      <c r="V17" s="508">
        <v>903814.6399999999</v>
      </c>
      <c r="W17" s="59">
        <v>2380674.67</v>
      </c>
      <c r="X17" s="516">
        <v>5081836.9400000013</v>
      </c>
      <c r="Y17" s="517">
        <f t="shared" si="5"/>
        <v>2160929.816000001</v>
      </c>
      <c r="Z17" s="59">
        <f t="shared" si="6"/>
        <v>4541604.4860000014</v>
      </c>
    </row>
    <row r="18" spans="1:26" ht="17.25" customHeight="1" x14ac:dyDescent="0.25">
      <c r="A18" s="10">
        <v>13</v>
      </c>
      <c r="B18" s="7" t="s">
        <v>21</v>
      </c>
      <c r="C18" s="112">
        <v>34</v>
      </c>
      <c r="D18" s="113">
        <v>18</v>
      </c>
      <c r="E18" s="114">
        <v>18</v>
      </c>
      <c r="F18" s="111">
        <f t="shared" si="0"/>
        <v>0.52941176470588236</v>
      </c>
      <c r="G18" s="112">
        <v>34</v>
      </c>
      <c r="H18" s="113">
        <v>18</v>
      </c>
      <c r="I18" s="114">
        <v>18</v>
      </c>
      <c r="J18" s="111">
        <f t="shared" si="1"/>
        <v>0.52941176470588236</v>
      </c>
      <c r="K18" s="38">
        <f t="shared" si="2"/>
        <v>93444304.180000007</v>
      </c>
      <c r="L18" s="12">
        <f>Смирных!E6</f>
        <v>84503269.033270776</v>
      </c>
      <c r="M18" s="12">
        <f>Смирных!F6</f>
        <v>4672215.2109999992</v>
      </c>
      <c r="N18" s="682">
        <f t="shared" si="3"/>
        <v>5.0000000021403111E-2</v>
      </c>
      <c r="O18" s="12">
        <f>Смирных!G6</f>
        <v>4268819.9357292391</v>
      </c>
      <c r="P18" s="15">
        <f t="shared" si="4"/>
        <v>93444304.180000007</v>
      </c>
      <c r="Q18" s="12">
        <f>Смирных!I6</f>
        <v>85315109.650000021</v>
      </c>
      <c r="R18" s="12">
        <f>Смирных!J6</f>
        <v>4672215.209999999</v>
      </c>
      <c r="S18" s="521">
        <f>Смирных!K6</f>
        <v>3456979.32</v>
      </c>
      <c r="T18" s="524">
        <v>28930043.517607</v>
      </c>
      <c r="U18" s="524">
        <v>5950096.5700000003</v>
      </c>
      <c r="V18" s="508">
        <v>3022740.3500463106</v>
      </c>
      <c r="W18" s="59">
        <v>2927356.2199536897</v>
      </c>
      <c r="X18" s="516">
        <v>9257330.5700000022</v>
      </c>
      <c r="Y18" s="517">
        <f t="shared" si="5"/>
        <v>5063979.4800370503</v>
      </c>
      <c r="Z18" s="59">
        <f t="shared" si="6"/>
        <v>7991335.69999074</v>
      </c>
    </row>
    <row r="19" spans="1:26" ht="17.25" customHeight="1" x14ac:dyDescent="0.25">
      <c r="A19" s="10">
        <v>14</v>
      </c>
      <c r="B19" s="7" t="s">
        <v>22</v>
      </c>
      <c r="C19" s="112">
        <v>26</v>
      </c>
      <c r="D19" s="113">
        <v>7</v>
      </c>
      <c r="E19" s="114">
        <v>7</v>
      </c>
      <c r="F19" s="111">
        <f t="shared" si="0"/>
        <v>0.26923076923076922</v>
      </c>
      <c r="G19" s="112">
        <v>27</v>
      </c>
      <c r="H19" s="113">
        <v>8</v>
      </c>
      <c r="I19" s="114">
        <v>8</v>
      </c>
      <c r="J19" s="111">
        <f t="shared" si="1"/>
        <v>0.29629629629629628</v>
      </c>
      <c r="K19" s="38">
        <f t="shared" si="2"/>
        <v>28179578.34</v>
      </c>
      <c r="L19" s="12">
        <f>Томари!E6</f>
        <v>22344159.489349201</v>
      </c>
      <c r="M19" s="12">
        <f>Томари!F6</f>
        <v>1408978.9170000001</v>
      </c>
      <c r="N19" s="682">
        <f t="shared" si="3"/>
        <v>0.05</v>
      </c>
      <c r="O19" s="12">
        <f>Томари!G6</f>
        <v>4426439.9336508</v>
      </c>
      <c r="P19" s="15">
        <f t="shared" si="4"/>
        <v>28179578.340000004</v>
      </c>
      <c r="Q19" s="12">
        <f>Томари!I6</f>
        <v>22378674.380000003</v>
      </c>
      <c r="R19" s="12">
        <f>Томари!J6</f>
        <v>1408978.92</v>
      </c>
      <c r="S19" s="521">
        <f>Томари!K6</f>
        <v>4391925.040000001</v>
      </c>
      <c r="T19" s="524">
        <v>42348735.844535902</v>
      </c>
      <c r="U19" s="524">
        <v>13256225.579999998</v>
      </c>
      <c r="V19" s="508">
        <v>1288629.356442044</v>
      </c>
      <c r="W19" s="59">
        <v>11954263.933557959</v>
      </c>
      <c r="X19" s="516">
        <v>20332471.439999998</v>
      </c>
      <c r="Y19" s="517">
        <f t="shared" si="5"/>
        <v>6702566.0051536309</v>
      </c>
      <c r="Z19" s="59">
        <f t="shared" si="6"/>
        <v>18656829.938711591</v>
      </c>
    </row>
    <row r="20" spans="1:26" ht="17.25" customHeight="1" x14ac:dyDescent="0.25">
      <c r="A20" s="10">
        <v>15</v>
      </c>
      <c r="B20" s="7" t="s">
        <v>23</v>
      </c>
      <c r="C20" s="112">
        <v>20</v>
      </c>
      <c r="D20" s="113">
        <v>3</v>
      </c>
      <c r="E20" s="114">
        <v>3</v>
      </c>
      <c r="F20" s="111">
        <f t="shared" si="0"/>
        <v>0.15</v>
      </c>
      <c r="G20" s="112">
        <v>35</v>
      </c>
      <c r="H20" s="113">
        <v>13</v>
      </c>
      <c r="I20" s="114">
        <v>13</v>
      </c>
      <c r="J20" s="111">
        <f t="shared" si="1"/>
        <v>0.37142857142857144</v>
      </c>
      <c r="K20" s="38">
        <f t="shared" si="2"/>
        <v>39977022.049999997</v>
      </c>
      <c r="L20" s="12">
        <f>Тымовск!E6</f>
        <v>34854118.9555941</v>
      </c>
      <c r="M20" s="12">
        <f>Тымовск!F6</f>
        <v>1998851.1054999994</v>
      </c>
      <c r="N20" s="682">
        <f t="shared" si="3"/>
        <v>5.00000000750431E-2</v>
      </c>
      <c r="O20" s="12">
        <f>Тымовск!G6</f>
        <v>3124051.9889058983</v>
      </c>
      <c r="P20" s="15">
        <f t="shared" si="4"/>
        <v>39977022.050000004</v>
      </c>
      <c r="Q20" s="12">
        <f>Тымовск!I6</f>
        <v>34892691.24000001</v>
      </c>
      <c r="R20" s="12">
        <f>Тымовск!J6</f>
        <v>1998851.1199999999</v>
      </c>
      <c r="S20" s="521">
        <f>Тымовск!K6</f>
        <v>3085479.69</v>
      </c>
      <c r="T20" s="524">
        <v>29750745.398522299</v>
      </c>
      <c r="U20" s="524">
        <v>8185662.0500000007</v>
      </c>
      <c r="V20" s="508">
        <v>3414360.1979093142</v>
      </c>
      <c r="W20" s="59">
        <v>4771301.8520906856</v>
      </c>
      <c r="X20" s="516">
        <v>12711600.860000003</v>
      </c>
      <c r="Y20" s="517">
        <f t="shared" si="5"/>
        <v>6352239.2063274542</v>
      </c>
      <c r="Z20" s="59">
        <f t="shared" si="6"/>
        <v>11123541.05841814</v>
      </c>
    </row>
    <row r="21" spans="1:26" ht="17.25" customHeight="1" x14ac:dyDescent="0.25">
      <c r="A21" s="10">
        <v>16</v>
      </c>
      <c r="B21" s="7" t="s">
        <v>24</v>
      </c>
      <c r="C21" s="112">
        <v>21</v>
      </c>
      <c r="D21" s="113">
        <v>4</v>
      </c>
      <c r="E21" s="114">
        <v>3</v>
      </c>
      <c r="F21" s="111">
        <f t="shared" si="0"/>
        <v>0.19047619047619047</v>
      </c>
      <c r="G21" s="112">
        <v>57</v>
      </c>
      <c r="H21" s="113">
        <v>8</v>
      </c>
      <c r="I21" s="114">
        <v>7</v>
      </c>
      <c r="J21" s="111">
        <f t="shared" si="1"/>
        <v>0.14035087719298245</v>
      </c>
      <c r="K21" s="38">
        <f t="shared" si="2"/>
        <v>39048724.219999999</v>
      </c>
      <c r="L21" s="12">
        <f>Углегорск!E6</f>
        <v>32262016.588415995</v>
      </c>
      <c r="M21" s="12">
        <f>Углегорск!F6</f>
        <v>413567.22600000008</v>
      </c>
      <c r="N21" s="682">
        <f t="shared" si="3"/>
        <v>1.0591056027079599E-2</v>
      </c>
      <c r="O21" s="12">
        <f>Углегорск!G6</f>
        <v>6373140.4055840001</v>
      </c>
      <c r="P21" s="15">
        <f t="shared" si="4"/>
        <v>32956503.400000002</v>
      </c>
      <c r="Q21" s="12">
        <f>Углегорск!I6</f>
        <v>27691763.050000001</v>
      </c>
      <c r="R21" s="12">
        <f>Углегорск!J6</f>
        <v>694478.94</v>
      </c>
      <c r="S21" s="521">
        <f>Углегорск!K6</f>
        <v>4570261.4099999992</v>
      </c>
      <c r="T21" s="524">
        <v>60152231.296728797</v>
      </c>
      <c r="U21" s="524">
        <v>22519465.84</v>
      </c>
      <c r="V21" s="27">
        <v>2924671.794433936</v>
      </c>
      <c r="W21" s="59">
        <v>19594794.045566063</v>
      </c>
      <c r="X21" s="296">
        <v>31360352.810000006</v>
      </c>
      <c r="Y21" s="517">
        <f t="shared" si="5"/>
        <v>9412447.0115471538</v>
      </c>
      <c r="Z21" s="59">
        <f t="shared" si="6"/>
        <v>29007241.057113215</v>
      </c>
    </row>
    <row r="22" spans="1:26" ht="17.25" customHeight="1" x14ac:dyDescent="0.25">
      <c r="A22" s="10">
        <v>17</v>
      </c>
      <c r="B22" s="7" t="s">
        <v>25</v>
      </c>
      <c r="C22" s="112">
        <v>30</v>
      </c>
      <c r="D22" s="113">
        <v>14</v>
      </c>
      <c r="E22" s="114">
        <v>9</v>
      </c>
      <c r="F22" s="111">
        <f t="shared" si="0"/>
        <v>0.46666666666666667</v>
      </c>
      <c r="G22" s="112">
        <v>58</v>
      </c>
      <c r="H22" s="113">
        <v>36</v>
      </c>
      <c r="I22" s="114">
        <v>27</v>
      </c>
      <c r="J22" s="111">
        <f t="shared" si="1"/>
        <v>0.62068965517241381</v>
      </c>
      <c r="K22" s="38">
        <f t="shared" si="2"/>
        <v>150878903.52000001</v>
      </c>
      <c r="L22" s="12">
        <f>Холмск!E6</f>
        <v>109115760.13377391</v>
      </c>
      <c r="M22" s="12">
        <f>Холмск!F6</f>
        <v>7534215.0215000007</v>
      </c>
      <c r="N22" s="682">
        <f t="shared" si="3"/>
        <v>4.9935510172244124E-2</v>
      </c>
      <c r="O22" s="12">
        <f>Холмск!G6</f>
        <v>34228928.364726089</v>
      </c>
      <c r="P22" s="15">
        <f t="shared" si="4"/>
        <v>127507710.44999999</v>
      </c>
      <c r="Q22" s="12">
        <f>Холмск!I6</f>
        <v>90092008.749999985</v>
      </c>
      <c r="R22" s="12">
        <f>Холмск!J6</f>
        <v>6375385.5199999996</v>
      </c>
      <c r="S22" s="521">
        <f>Холмск!K6</f>
        <v>31040316.18</v>
      </c>
      <c r="T22" s="524">
        <v>52869507.294783302</v>
      </c>
      <c r="U22" s="524">
        <v>54521943.870000005</v>
      </c>
      <c r="V22" s="27">
        <v>7196758.7610915164</v>
      </c>
      <c r="W22" s="59">
        <v>47325185.108908482</v>
      </c>
      <c r="X22" s="296">
        <v>84262716.029999986</v>
      </c>
      <c r="Y22" s="517">
        <f t="shared" si="5"/>
        <v>29550024.736873206</v>
      </c>
      <c r="Z22" s="59">
        <f t="shared" si="6"/>
        <v>76875209.845781684</v>
      </c>
    </row>
    <row r="23" spans="1:26" ht="17.25" customHeight="1" x14ac:dyDescent="0.25">
      <c r="A23" s="10">
        <v>18</v>
      </c>
      <c r="B23" s="7" t="s">
        <v>26</v>
      </c>
      <c r="C23" s="112">
        <v>32</v>
      </c>
      <c r="D23" s="113">
        <v>7</v>
      </c>
      <c r="E23" s="114">
        <v>3</v>
      </c>
      <c r="F23" s="111">
        <f t="shared" si="0"/>
        <v>0.21875</v>
      </c>
      <c r="G23" s="112">
        <v>48</v>
      </c>
      <c r="H23" s="113">
        <v>11</v>
      </c>
      <c r="I23" s="114">
        <v>5</v>
      </c>
      <c r="J23" s="111">
        <f t="shared" si="1"/>
        <v>0.22916666666666666</v>
      </c>
      <c r="K23" s="38">
        <f t="shared" si="2"/>
        <v>60867189.540000007</v>
      </c>
      <c r="L23" s="12">
        <f>Шахтерск!E6</f>
        <v>49241257.335792504</v>
      </c>
      <c r="M23" s="12">
        <f>Шахтерск!F6</f>
        <v>680303.16090000002</v>
      </c>
      <c r="N23" s="682">
        <f t="shared" si="3"/>
        <v>1.1176845292863837E-2</v>
      </c>
      <c r="O23" s="12">
        <f>Шахтерск!G6</f>
        <v>10945629.043307502</v>
      </c>
      <c r="P23" s="15">
        <f t="shared" si="4"/>
        <v>37224942.000000007</v>
      </c>
      <c r="Q23" s="12">
        <f>Шахтерск!I6</f>
        <v>32794644.990000006</v>
      </c>
      <c r="R23" s="12">
        <f>Шахтерск!J6</f>
        <v>471185.98</v>
      </c>
      <c r="S23" s="521">
        <f>Шахтерск!K6</f>
        <v>3959111.0300000003</v>
      </c>
      <c r="T23" s="524">
        <v>63620256.817245498</v>
      </c>
      <c r="U23" s="524">
        <v>9790313.3200000003</v>
      </c>
      <c r="V23" s="27">
        <v>1667597.5440000002</v>
      </c>
      <c r="W23" s="59">
        <v>8122715.7760000005</v>
      </c>
      <c r="X23" s="296">
        <v>17760853.789999999</v>
      </c>
      <c r="Y23" s="517">
        <f t="shared" si="5"/>
        <v>7710510.411199999</v>
      </c>
      <c r="Z23" s="59">
        <f t="shared" si="6"/>
        <v>15833226.187199999</v>
      </c>
    </row>
    <row r="24" spans="1:26" ht="17.25" customHeight="1" x14ac:dyDescent="0.25">
      <c r="A24" s="10">
        <v>19</v>
      </c>
      <c r="B24" s="7" t="s">
        <v>27</v>
      </c>
      <c r="C24" s="112">
        <v>9</v>
      </c>
      <c r="D24" s="113"/>
      <c r="E24" s="114"/>
      <c r="F24" s="111">
        <f t="shared" si="0"/>
        <v>0</v>
      </c>
      <c r="G24" s="112">
        <v>17</v>
      </c>
      <c r="H24" s="113"/>
      <c r="I24" s="114"/>
      <c r="J24" s="111">
        <f t="shared" si="1"/>
        <v>0</v>
      </c>
      <c r="K24" s="38">
        <f t="shared" si="2"/>
        <v>721648.47</v>
      </c>
      <c r="L24" s="12">
        <f>'Южно-Курильск'!E6</f>
        <v>594825.96788219991</v>
      </c>
      <c r="M24" s="12">
        <f>'Южно-Курильск'!F6</f>
        <v>36082.423499999997</v>
      </c>
      <c r="N24" s="682">
        <f t="shared" si="3"/>
        <v>4.9999999999999996E-2</v>
      </c>
      <c r="O24" s="12">
        <f>'Южно-Курильск'!G6</f>
        <v>90740.078617800027</v>
      </c>
      <c r="P24" s="15">
        <f t="shared" si="4"/>
        <v>721648.46000000008</v>
      </c>
      <c r="Q24" s="12">
        <f>'Южно-Курильск'!I6</f>
        <v>594825.95000000007</v>
      </c>
      <c r="R24" s="12">
        <f>'Южно-Курильск'!J6</f>
        <v>36082.42</v>
      </c>
      <c r="S24" s="65">
        <f>'Южно-Курильск'!K6</f>
        <v>90740.090000000011</v>
      </c>
      <c r="T24" s="59">
        <v>7424451.5451927697</v>
      </c>
      <c r="U24" s="59">
        <v>3133836.4900000007</v>
      </c>
      <c r="V24" s="27">
        <v>496868.72</v>
      </c>
      <c r="W24" s="59">
        <v>2636967.7700000005</v>
      </c>
      <c r="X24" s="296">
        <v>5146720.9700000016</v>
      </c>
      <c r="Y24" s="517">
        <f t="shared" si="5"/>
        <v>2007802.560000001</v>
      </c>
      <c r="Z24" s="59">
        <f t="shared" si="6"/>
        <v>4644770.3300000019</v>
      </c>
    </row>
    <row r="25" spans="1:26" ht="17.25" customHeight="1" x14ac:dyDescent="0.25">
      <c r="A25" s="10">
        <v>20</v>
      </c>
      <c r="B25" s="7" t="s">
        <v>28</v>
      </c>
      <c r="C25" s="112">
        <v>150</v>
      </c>
      <c r="D25" s="113">
        <v>31</v>
      </c>
      <c r="E25" s="114">
        <v>31</v>
      </c>
      <c r="F25" s="111">
        <f t="shared" si="0"/>
        <v>0.20666666666666667</v>
      </c>
      <c r="G25" s="112">
        <v>180</v>
      </c>
      <c r="H25" s="113">
        <v>77</v>
      </c>
      <c r="I25" s="114">
        <v>70</v>
      </c>
      <c r="J25" s="111">
        <f t="shared" si="1"/>
        <v>0.42777777777777776</v>
      </c>
      <c r="K25" s="38">
        <f t="shared" si="2"/>
        <v>513666773.87</v>
      </c>
      <c r="L25" s="12">
        <f>Южный!E6</f>
        <v>369413826.21481085</v>
      </c>
      <c r="M25" s="12">
        <f>Южный!F6</f>
        <v>24878306.859499995</v>
      </c>
      <c r="N25" s="682">
        <f t="shared" si="3"/>
        <v>4.8432774173936065E-2</v>
      </c>
      <c r="O25" s="12">
        <f>Южный!G6</f>
        <v>119374640.79568914</v>
      </c>
      <c r="P25" s="15">
        <f t="shared" si="4"/>
        <v>487232760.10000002</v>
      </c>
      <c r="Q25" s="12">
        <f>Южный!I6</f>
        <v>348562630.18000001</v>
      </c>
      <c r="R25" s="12">
        <f>Южный!J6</f>
        <v>23556606.229999997</v>
      </c>
      <c r="S25" s="521">
        <f>Южный!K6</f>
        <v>115113523.68999998</v>
      </c>
      <c r="T25" s="524">
        <v>215184795.79234999</v>
      </c>
      <c r="U25" s="524">
        <v>212113189.08000001</v>
      </c>
      <c r="V25" s="27">
        <v>24577323.346414126</v>
      </c>
      <c r="W25" s="59">
        <v>187535865.73358589</v>
      </c>
      <c r="X25" s="296">
        <v>349869069.62</v>
      </c>
      <c r="Y25" s="517">
        <f t="shared" si="5"/>
        <v>129866563.10913129</v>
      </c>
      <c r="Z25" s="59">
        <f t="shared" si="6"/>
        <v>317402428.84271717</v>
      </c>
    </row>
    <row r="26" spans="1:26" ht="25.5" customHeight="1" thickBot="1" x14ac:dyDescent="0.3">
      <c r="A26" s="734" t="s">
        <v>59</v>
      </c>
      <c r="B26" s="735"/>
      <c r="C26" s="115">
        <f>SUM(C6:C25)</f>
        <v>553</v>
      </c>
      <c r="D26" s="116">
        <f>SUM(D6:D25)</f>
        <v>194</v>
      </c>
      <c r="E26" s="116">
        <f>SUM(E6:E25)</f>
        <v>160</v>
      </c>
      <c r="F26" s="407">
        <f t="shared" si="0"/>
        <v>0.35081374321880648</v>
      </c>
      <c r="G26" s="115">
        <f>SUM(G6:G25)</f>
        <v>914</v>
      </c>
      <c r="H26" s="116">
        <f>SUM(H6:H25)</f>
        <v>437</v>
      </c>
      <c r="I26" s="116">
        <f>SUM(I6:I25)</f>
        <v>375</v>
      </c>
      <c r="J26" s="407">
        <f t="shared" si="1"/>
        <v>0.47811816192560175</v>
      </c>
      <c r="K26" s="39">
        <f t="shared" ref="K26:S26" si="7">SUM(K6:K25)</f>
        <v>1709925986.3952003</v>
      </c>
      <c r="L26" s="18">
        <f t="shared" si="7"/>
        <v>1296076055.6482325</v>
      </c>
      <c r="M26" s="18">
        <f t="shared" si="7"/>
        <v>80327819.435033396</v>
      </c>
      <c r="N26" s="683">
        <f t="shared" si="3"/>
        <v>4.6977366315355783E-2</v>
      </c>
      <c r="O26" s="19">
        <f t="shared" si="7"/>
        <v>333522111.31193399</v>
      </c>
      <c r="P26" s="17">
        <f>SUM(P6:P25)</f>
        <v>1521655433.6100001</v>
      </c>
      <c r="Q26" s="18">
        <f>SUM(Q6:Q25)</f>
        <v>1153997689.6399999</v>
      </c>
      <c r="R26" s="18">
        <f>SUM(R6:R25)</f>
        <v>72479498.279999986</v>
      </c>
      <c r="S26" s="522">
        <f t="shared" si="7"/>
        <v>295178245.69</v>
      </c>
      <c r="T26" s="176">
        <f t="shared" ref="T26:Z26" si="8">SUM(T6:T25)</f>
        <v>819175297.21444416</v>
      </c>
      <c r="U26" s="176">
        <f t="shared" si="8"/>
        <v>554301432.64999998</v>
      </c>
      <c r="V26" s="176">
        <f t="shared" si="8"/>
        <v>91261628.806664109</v>
      </c>
      <c r="W26" s="176">
        <f t="shared" si="8"/>
        <v>463026471.55333585</v>
      </c>
      <c r="X26" s="518">
        <f t="shared" si="8"/>
        <v>877522841.49000001</v>
      </c>
      <c r="Y26" s="176">
        <f t="shared" si="8"/>
        <v>331597095.94933128</v>
      </c>
      <c r="Z26" s="176">
        <f t="shared" si="8"/>
        <v>794623567.50266719</v>
      </c>
    </row>
    <row r="27" spans="1:26" x14ac:dyDescent="0.25">
      <c r="O27" s="62"/>
      <c r="P27" s="68"/>
      <c r="Q27" s="62"/>
      <c r="R27" s="62"/>
      <c r="S27" s="535"/>
      <c r="T27" s="536">
        <f>6475.78+236.49+23423.23+4304.16+9152.96+11821.36+5456600+398.4+962.54+2067.72+27858.6+1996.8+2207.1+10+10+10+10+10+30+30+645.6+906240.47+380+1986+8791.6+160303.28+155380.59+287720.43+158983.58+197.4+2430+3385.14+7500+3522.65+764.4+1942.4+2757.6+37000+285+372+474.68</f>
        <v>7288677.959999999</v>
      </c>
      <c r="U27" s="536"/>
      <c r="W27" s="62"/>
    </row>
    <row r="28" spans="1:26" x14ac:dyDescent="0.25">
      <c r="T28" s="62">
        <v>91274961.034406275</v>
      </c>
      <c r="U28" s="62"/>
    </row>
    <row r="295" spans="8:8" x14ac:dyDescent="0.25">
      <c r="H295" s="8">
        <f>'Общий Свод'!I2522</f>
        <v>0</v>
      </c>
    </row>
  </sheetData>
  <mergeCells count="15">
    <mergeCell ref="X4:X5"/>
    <mergeCell ref="Z4:Z5"/>
    <mergeCell ref="Y4:Y5"/>
    <mergeCell ref="W4:W5"/>
    <mergeCell ref="V4:V5"/>
    <mergeCell ref="U4:U5"/>
    <mergeCell ref="A1:T3"/>
    <mergeCell ref="A26:B26"/>
    <mergeCell ref="K4:O4"/>
    <mergeCell ref="P4:S4"/>
    <mergeCell ref="B4:B5"/>
    <mergeCell ref="A4:A5"/>
    <mergeCell ref="C4:F4"/>
    <mergeCell ref="G4:J4"/>
    <mergeCell ref="T4:T5"/>
  </mergeCells>
  <pageMargins left="0" right="0" top="0.74803149606299213" bottom="0.74803149606299213" header="0.31496062992125984" footer="0"/>
  <pageSetup paperSize="9" scale="7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5"/>
  </sheetPr>
  <dimension ref="A1:M73"/>
  <sheetViews>
    <sheetView view="pageBreakPreview" zoomScale="75" zoomScaleNormal="75" zoomScaleSheetLayoutView="75" workbookViewId="0">
      <selection sqref="A1:L3"/>
    </sheetView>
  </sheetViews>
  <sheetFormatPr defaultColWidth="9.140625" defaultRowHeight="15" outlineLevelRow="1" x14ac:dyDescent="0.25"/>
  <cols>
    <col min="1" max="1" width="4.42578125" style="25" customWidth="1"/>
    <col min="2" max="2" width="46.5703125" style="56" customWidth="1"/>
    <col min="3" max="3" width="16.5703125" style="97" customWidth="1"/>
    <col min="4" max="4" width="14.7109375" style="2" bestFit="1" customWidth="1"/>
    <col min="5" max="5" width="17" style="2" customWidth="1"/>
    <col min="6" max="6" width="14.5703125" style="2" customWidth="1"/>
    <col min="7" max="7" width="15.42578125" style="2" customWidth="1"/>
    <col min="8" max="8" width="14.7109375" style="2" bestFit="1" customWidth="1"/>
    <col min="9" max="9" width="15.140625" style="2" customWidth="1"/>
    <col min="10" max="10" width="14.140625" style="2" customWidth="1"/>
    <col min="11" max="11" width="15.5703125" style="2" customWidth="1"/>
    <col min="12" max="12" width="25.5703125" style="2" customWidth="1"/>
    <col min="13" max="13" width="11.140625" style="2" customWidth="1"/>
    <col min="14" max="16384" width="9.140625" style="2"/>
  </cols>
  <sheetData>
    <row r="1" spans="1:12" x14ac:dyDescent="0.25">
      <c r="A1" s="777" t="s">
        <v>882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13.5" customHeight="1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2" ht="15.7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2" s="5" customFormat="1" ht="32.25" customHeight="1" x14ac:dyDescent="0.25">
      <c r="A4" s="744" t="s">
        <v>0</v>
      </c>
      <c r="B4" s="761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</row>
    <row r="5" spans="1:12" s="5" customFormat="1" ht="44.25" customHeight="1" x14ac:dyDescent="0.25">
      <c r="A5" s="745"/>
      <c r="B5" s="762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</row>
    <row r="6" spans="1:12" s="5" customFormat="1" ht="28.5" customHeight="1" x14ac:dyDescent="0.25">
      <c r="A6" s="390"/>
      <c r="B6" s="390" t="s">
        <v>16</v>
      </c>
      <c r="C6" s="93">
        <f>C7+C10+C13+C16+C19+C23+C26+C29+C33+C36+C39+C42+C45+C48+C51+C54+C57+C62+C60</f>
        <v>68596064.719999999</v>
      </c>
      <c r="D6" s="13">
        <f>E6+F6+G6</f>
        <v>68596064.719999984</v>
      </c>
      <c r="E6" s="22">
        <f>E7+E10+E13+E16+E19+E23+E26+E29+E33+E36+E39+E42+E45+E48+E51+E54+E57+E62+E60</f>
        <v>47923257.394861288</v>
      </c>
      <c r="F6" s="22">
        <f>F7+F10+F13+F16+F19+F23+F26+F29+F33+F36+F39+F42+F45+F48+F51+F54+F57+F62+F60</f>
        <v>3429803.2229999998</v>
      </c>
      <c r="G6" s="33">
        <f>G7+G10+G13+G16+G19+G23+G26+G29+G33+G36+G39+G42+G45+G48+G51+G54+G57+G62+G60</f>
        <v>17243004.102138698</v>
      </c>
      <c r="H6" s="13">
        <f>I6+J6+K6</f>
        <v>68053680.459999993</v>
      </c>
      <c r="I6" s="24">
        <f>I7+I10+I13+I16+I19+I23+I26+I29+I33+I36+I39+I42+I45+I48+I51+I54+I57+I62+I60</f>
        <v>47401180.329999991</v>
      </c>
      <c r="J6" s="24">
        <f>J7+J10+J13+J16+J19+J23+J26+J29+J33+J36+J39+J42+J45+J48+J51+J54+J57+J62+J60</f>
        <v>3402684.02</v>
      </c>
      <c r="K6" s="34">
        <f>K7+K10+K13+K16+K19+K23+K26+K29+K33+K36+K39+K42+K45+K48+K51+K54+K57+K62+K60</f>
        <v>17249816.109999999</v>
      </c>
      <c r="L6" s="139"/>
    </row>
    <row r="7" spans="1:12" s="403" customFormat="1" ht="33.75" customHeight="1" x14ac:dyDescent="0.25">
      <c r="A7" s="391">
        <v>1</v>
      </c>
      <c r="B7" s="392" t="s">
        <v>194</v>
      </c>
      <c r="C7" s="287">
        <f>SUM(C8:C9)</f>
        <v>10899631.09</v>
      </c>
      <c r="D7" s="393">
        <f>SUM(E7:G7)</f>
        <v>10899631.089999998</v>
      </c>
      <c r="E7" s="401">
        <f>SUM(E8:E9)</f>
        <v>8017768.6298039993</v>
      </c>
      <c r="F7" s="401">
        <f>SUM(F8:F9)</f>
        <v>544981.55449999997</v>
      </c>
      <c r="G7" s="402">
        <f>SUM(G8:G9)</f>
        <v>2336880.9056959995</v>
      </c>
      <c r="H7" s="393">
        <f>SUM(I7:K7)</f>
        <v>10899631.09</v>
      </c>
      <c r="I7" s="401">
        <f>SUM(I8:I9)</f>
        <v>8017768.6299999999</v>
      </c>
      <c r="J7" s="401">
        <f>SUM(J8:J9)</f>
        <v>544981.55999999994</v>
      </c>
      <c r="K7" s="402">
        <f>SUM(K8:K9)</f>
        <v>2336880.9000000004</v>
      </c>
      <c r="L7" s="394"/>
    </row>
    <row r="8" spans="1:12" s="91" customFormat="1" outlineLevel="1" x14ac:dyDescent="0.25">
      <c r="A8" s="260"/>
      <c r="B8" s="261" t="s">
        <v>64</v>
      </c>
      <c r="C8" s="245">
        <v>10814626.539999999</v>
      </c>
      <c r="D8" s="300">
        <f t="shared" ref="D8" si="0">E8+F8+G8</f>
        <v>10814626.539999999</v>
      </c>
      <c r="E8" s="301">
        <f>C8*0.7356</f>
        <v>7955239.2828239994</v>
      </c>
      <c r="F8" s="301">
        <f>C8*5%</f>
        <v>540731.32699999993</v>
      </c>
      <c r="G8" s="248">
        <f>C8-E8-F8</f>
        <v>2318655.9301759996</v>
      </c>
      <c r="H8" s="300">
        <f>SUM(I8:K8)</f>
        <v>10814626.539999999</v>
      </c>
      <c r="I8" s="301">
        <v>7955239.2800000003</v>
      </c>
      <c r="J8" s="301">
        <v>540731.32999999996</v>
      </c>
      <c r="K8" s="248">
        <v>2318655.9300000002</v>
      </c>
      <c r="L8" s="271" t="s">
        <v>669</v>
      </c>
    </row>
    <row r="9" spans="1:12" s="91" customFormat="1" outlineLevel="1" x14ac:dyDescent="0.25">
      <c r="A9" s="260"/>
      <c r="B9" s="261" t="s">
        <v>67</v>
      </c>
      <c r="C9" s="245">
        <v>85004.55</v>
      </c>
      <c r="D9" s="300">
        <f t="shared" ref="D9" si="1">E9+F9+G9</f>
        <v>85004.549999999988</v>
      </c>
      <c r="E9" s="301">
        <f>C9*0.7356</f>
        <v>62529.346980000002</v>
      </c>
      <c r="F9" s="301">
        <f>C9*5%</f>
        <v>4250.2275</v>
      </c>
      <c r="G9" s="248">
        <f>C9-E9-F9</f>
        <v>18224.97552</v>
      </c>
      <c r="H9" s="300">
        <f t="shared" ref="H9" si="2">I9+J9+K9</f>
        <v>85004.55</v>
      </c>
      <c r="I9" s="301">
        <v>62529.35</v>
      </c>
      <c r="J9" s="301">
        <v>4250.2299999999996</v>
      </c>
      <c r="K9" s="248">
        <v>18224.97</v>
      </c>
      <c r="L9" s="271" t="s">
        <v>643</v>
      </c>
    </row>
    <row r="10" spans="1:12" s="403" customFormat="1" ht="35.25" customHeight="1" x14ac:dyDescent="0.25">
      <c r="A10" s="391">
        <v>2</v>
      </c>
      <c r="B10" s="392" t="s">
        <v>205</v>
      </c>
      <c r="C10" s="287">
        <f>SUM(C11:C12)</f>
        <v>5025820.93</v>
      </c>
      <c r="D10" s="393">
        <f>SUM(E10:G10)</f>
        <v>5025820.93</v>
      </c>
      <c r="E10" s="401">
        <f>SUM(E11:E12)</f>
        <v>2411805.4603480003</v>
      </c>
      <c r="F10" s="401">
        <f>SUM(F11:F12)</f>
        <v>251291.0465</v>
      </c>
      <c r="G10" s="402">
        <f>SUM(G11:G12)</f>
        <v>2362724.4231519997</v>
      </c>
      <c r="H10" s="393">
        <f>SUM(I10:K10)</f>
        <v>5025820.93</v>
      </c>
      <c r="I10" s="401">
        <f>SUM(I11:I12)</f>
        <v>2386058.7399999998</v>
      </c>
      <c r="J10" s="401">
        <f>SUM(J11:J12)</f>
        <v>251291.05000000002</v>
      </c>
      <c r="K10" s="402">
        <f>SUM(K11:K12)</f>
        <v>2388471.1399999997</v>
      </c>
      <c r="L10" s="394"/>
    </row>
    <row r="11" spans="1:12" s="91" customFormat="1" outlineLevel="1" x14ac:dyDescent="0.25">
      <c r="A11" s="260"/>
      <c r="B11" s="261" t="s">
        <v>555</v>
      </c>
      <c r="C11" s="245">
        <v>4927114</v>
      </c>
      <c r="D11" s="300">
        <f>E11+F11+G11</f>
        <v>4927114</v>
      </c>
      <c r="E11" s="301">
        <f>C11*0.47476</f>
        <v>2339196.6426400002</v>
      </c>
      <c r="F11" s="301">
        <f>C11*0.05</f>
        <v>246355.7</v>
      </c>
      <c r="G11" s="248">
        <f>C11-E11-F11</f>
        <v>2341561.6573599996</v>
      </c>
      <c r="H11" s="300">
        <f>I11+J11+K11</f>
        <v>4927114</v>
      </c>
      <c r="I11" s="301">
        <v>2313449.92</v>
      </c>
      <c r="J11" s="301">
        <v>246355.7</v>
      </c>
      <c r="K11" s="248">
        <v>2367308.38</v>
      </c>
      <c r="L11" s="271" t="s">
        <v>752</v>
      </c>
    </row>
    <row r="12" spans="1:12" s="91" customFormat="1" outlineLevel="1" x14ac:dyDescent="0.25">
      <c r="A12" s="260"/>
      <c r="B12" s="261" t="s">
        <v>67</v>
      </c>
      <c r="C12" s="245">
        <v>98706.93</v>
      </c>
      <c r="D12" s="300">
        <f t="shared" ref="D12" si="3">E12+F12+G12</f>
        <v>98706.93</v>
      </c>
      <c r="E12" s="301">
        <f>C12*0.7356</f>
        <v>72608.817708000002</v>
      </c>
      <c r="F12" s="301">
        <f>C12*5%</f>
        <v>4935.3464999999997</v>
      </c>
      <c r="G12" s="248">
        <f>C12-E12-F12</f>
        <v>21162.765791999991</v>
      </c>
      <c r="H12" s="300">
        <f>I12+J12+K12</f>
        <v>98706.930000000008</v>
      </c>
      <c r="I12" s="301">
        <v>72608.820000000007</v>
      </c>
      <c r="J12" s="301">
        <v>4935.3500000000004</v>
      </c>
      <c r="K12" s="248">
        <v>21162.76</v>
      </c>
      <c r="L12" s="271" t="s">
        <v>650</v>
      </c>
    </row>
    <row r="13" spans="1:12" s="403" customFormat="1" ht="32.25" customHeight="1" x14ac:dyDescent="0.25">
      <c r="A13" s="391">
        <v>3</v>
      </c>
      <c r="B13" s="392" t="s">
        <v>206</v>
      </c>
      <c r="C13" s="287">
        <f>SUM(C14:C15)</f>
        <v>5078160.51</v>
      </c>
      <c r="D13" s="393">
        <f>SUM(E13:G13)</f>
        <v>5078160.51</v>
      </c>
      <c r="E13" s="401">
        <f>SUM(E14:E15)</f>
        <v>2436293.3480759999</v>
      </c>
      <c r="F13" s="401">
        <f>SUM(F14:F15)</f>
        <v>253908.02550000002</v>
      </c>
      <c r="G13" s="402">
        <f>SUM(G14:G15)</f>
        <v>2387959.1364239999</v>
      </c>
      <c r="H13" s="393">
        <f>SUM(I13:K13)</f>
        <v>5078160.51</v>
      </c>
      <c r="I13" s="401">
        <f>SUM(I14:I15)</f>
        <v>2410907.48</v>
      </c>
      <c r="J13" s="401">
        <f>SUM(J14:J15)</f>
        <v>253908.03</v>
      </c>
      <c r="K13" s="402">
        <f>SUM(K14:K15)</f>
        <v>2413345</v>
      </c>
      <c r="L13" s="394"/>
    </row>
    <row r="14" spans="1:12" s="91" customFormat="1" outlineLevel="1" x14ac:dyDescent="0.25">
      <c r="A14" s="260"/>
      <c r="B14" s="261" t="s">
        <v>555</v>
      </c>
      <c r="C14" s="245">
        <v>4980837</v>
      </c>
      <c r="D14" s="300">
        <f>E14+F14+G14</f>
        <v>4980837</v>
      </c>
      <c r="E14" s="301">
        <f>C14*0.47476</f>
        <v>2364702.1741200001</v>
      </c>
      <c r="F14" s="301">
        <f>C14*0.05</f>
        <v>249041.85</v>
      </c>
      <c r="G14" s="248">
        <f>C14-E14-F14</f>
        <v>2367092.9758799998</v>
      </c>
      <c r="H14" s="300">
        <f>I14+J14+K14</f>
        <v>4980837</v>
      </c>
      <c r="I14" s="301">
        <v>2339316.31</v>
      </c>
      <c r="J14" s="301">
        <v>249041.85</v>
      </c>
      <c r="K14" s="248">
        <v>2392478.84</v>
      </c>
      <c r="L14" s="271" t="s">
        <v>752</v>
      </c>
    </row>
    <row r="15" spans="1:12" s="91" customFormat="1" outlineLevel="1" x14ac:dyDescent="0.25">
      <c r="A15" s="260"/>
      <c r="B15" s="261" t="s">
        <v>67</v>
      </c>
      <c r="C15" s="245">
        <v>97323.51</v>
      </c>
      <c r="D15" s="300">
        <f t="shared" ref="D15" si="4">E15+F15+G15</f>
        <v>97323.51</v>
      </c>
      <c r="E15" s="301">
        <f>C15*0.7356</f>
        <v>71591.173955999999</v>
      </c>
      <c r="F15" s="301">
        <f>C15*5%</f>
        <v>4866.1755000000003</v>
      </c>
      <c r="G15" s="248">
        <f>C15-E15-F15</f>
        <v>20866.160543999995</v>
      </c>
      <c r="H15" s="300">
        <f>I15+J15+K15</f>
        <v>97323.510000000009</v>
      </c>
      <c r="I15" s="301">
        <v>71591.17</v>
      </c>
      <c r="J15" s="301">
        <v>4866.18</v>
      </c>
      <c r="K15" s="248">
        <v>20866.16</v>
      </c>
      <c r="L15" s="271" t="s">
        <v>650</v>
      </c>
    </row>
    <row r="16" spans="1:12" s="9" customFormat="1" ht="35.25" customHeight="1" x14ac:dyDescent="0.2">
      <c r="A16" s="140">
        <v>4</v>
      </c>
      <c r="B16" s="60" t="s">
        <v>195</v>
      </c>
      <c r="C16" s="58">
        <f>SUM(C17:C18)</f>
        <v>104671.81</v>
      </c>
      <c r="D16" s="13">
        <f>SUM(E16:G16)</f>
        <v>104671.81</v>
      </c>
      <c r="E16" s="44">
        <f>SUM(E17:E18)</f>
        <v>76996.583436000001</v>
      </c>
      <c r="F16" s="44">
        <f>SUM(F17:F18)</f>
        <v>5233.5905000000002</v>
      </c>
      <c r="G16" s="297">
        <f>SUM(G17:G18)</f>
        <v>22441.636063999998</v>
      </c>
      <c r="H16" s="13">
        <f>SUM(I16:K16)</f>
        <v>104671.81</v>
      </c>
      <c r="I16" s="44">
        <f>SUM(I17:I18)</f>
        <v>76996.58</v>
      </c>
      <c r="J16" s="44">
        <f>SUM(J17:J18)</f>
        <v>5233.59</v>
      </c>
      <c r="K16" s="297">
        <f>SUM(K17:K18)</f>
        <v>22441.64</v>
      </c>
      <c r="L16" s="35"/>
    </row>
    <row r="17" spans="1:13" outlineLevel="1" x14ac:dyDescent="0.25">
      <c r="A17" s="10"/>
      <c r="B17" s="43" t="s">
        <v>557</v>
      </c>
      <c r="C17" s="59"/>
      <c r="D17" s="29">
        <f>SUM(E17:G17)</f>
        <v>0</v>
      </c>
      <c r="E17" s="12"/>
      <c r="F17" s="12"/>
      <c r="G17" s="16"/>
      <c r="H17" s="29">
        <f>SUM(I17:K17)</f>
        <v>0</v>
      </c>
      <c r="I17" s="12"/>
      <c r="J17" s="12"/>
      <c r="K17" s="16"/>
      <c r="L17" s="28"/>
    </row>
    <row r="18" spans="1:13" s="91" customFormat="1" outlineLevel="1" x14ac:dyDescent="0.25">
      <c r="A18" s="260"/>
      <c r="B18" s="261" t="s">
        <v>67</v>
      </c>
      <c r="C18" s="245">
        <v>104671.81</v>
      </c>
      <c r="D18" s="300">
        <f t="shared" ref="D18" si="5">E18+F18+G18</f>
        <v>104671.81</v>
      </c>
      <c r="E18" s="301">
        <f>C18*0.7356</f>
        <v>76996.583436000001</v>
      </c>
      <c r="F18" s="301">
        <f>C18*5%</f>
        <v>5233.5905000000002</v>
      </c>
      <c r="G18" s="248">
        <f>C18-E18-F18</f>
        <v>22441.636063999998</v>
      </c>
      <c r="H18" s="300">
        <f>SUM(I18:K18)</f>
        <v>104671.81</v>
      </c>
      <c r="I18" s="301">
        <v>76996.58</v>
      </c>
      <c r="J18" s="301">
        <v>5233.59</v>
      </c>
      <c r="K18" s="248">
        <v>22441.64</v>
      </c>
      <c r="L18" s="271" t="s">
        <v>643</v>
      </c>
    </row>
    <row r="19" spans="1:13" s="395" customFormat="1" ht="35.25" customHeight="1" x14ac:dyDescent="0.2">
      <c r="A19" s="391">
        <v>5</v>
      </c>
      <c r="B19" s="392" t="s">
        <v>196</v>
      </c>
      <c r="C19" s="287">
        <f>SUM(C20:C22)</f>
        <v>11779458.42</v>
      </c>
      <c r="D19" s="393">
        <f>SUM(E19:G19)</f>
        <v>11779458.42</v>
      </c>
      <c r="E19" s="401">
        <f>SUM(E20:E22)</f>
        <v>8664969.613752</v>
      </c>
      <c r="F19" s="401">
        <f>SUM(F20:F22)</f>
        <v>588972.92099999997</v>
      </c>
      <c r="G19" s="402">
        <f>SUM(G20:G22)</f>
        <v>2525515.8852479993</v>
      </c>
      <c r="H19" s="393">
        <f>SUM(I19:K19)</f>
        <v>11779458.42</v>
      </c>
      <c r="I19" s="401">
        <f>SUM(I20:I22)</f>
        <v>8664969.6199999992</v>
      </c>
      <c r="J19" s="401">
        <f>SUM(J20:J22)</f>
        <v>588972.90999999992</v>
      </c>
      <c r="K19" s="402">
        <f>SUM(K20:K22)</f>
        <v>2525515.89</v>
      </c>
      <c r="L19" s="400"/>
    </row>
    <row r="20" spans="1:13" s="91" customFormat="1" outlineLevel="1" x14ac:dyDescent="0.25">
      <c r="A20" s="260"/>
      <c r="B20" s="261" t="s">
        <v>64</v>
      </c>
      <c r="C20" s="245">
        <v>6203956.2000000002</v>
      </c>
      <c r="D20" s="300">
        <f t="shared" ref="D20" si="6">E20+F20+G20</f>
        <v>6203956.1999999993</v>
      </c>
      <c r="E20" s="301">
        <f>C20*0.7356</f>
        <v>4563630.1807200005</v>
      </c>
      <c r="F20" s="301">
        <f>C20*5%</f>
        <v>310197.81</v>
      </c>
      <c r="G20" s="248">
        <f>C20-E20-F20</f>
        <v>1330128.2092799996</v>
      </c>
      <c r="H20" s="300">
        <f>I20+J20+K20</f>
        <v>6203956.1999999993</v>
      </c>
      <c r="I20" s="301">
        <v>4563630.18</v>
      </c>
      <c r="J20" s="301">
        <v>310197.81</v>
      </c>
      <c r="K20" s="248">
        <v>1330128.21</v>
      </c>
      <c r="L20" s="271" t="s">
        <v>653</v>
      </c>
    </row>
    <row r="21" spans="1:13" s="91" customFormat="1" outlineLevel="1" x14ac:dyDescent="0.25">
      <c r="A21" s="260"/>
      <c r="B21" s="261" t="s">
        <v>555</v>
      </c>
      <c r="C21" s="245">
        <v>5366892.4800000004</v>
      </c>
      <c r="D21" s="300">
        <f t="shared" ref="D21:D24" si="7">E21+F21+G21</f>
        <v>5366892.4800000004</v>
      </c>
      <c r="E21" s="301">
        <f>C21*0.7356</f>
        <v>3947886.1082880003</v>
      </c>
      <c r="F21" s="301">
        <f>C21*5%</f>
        <v>268344.62400000001</v>
      </c>
      <c r="G21" s="248">
        <f>C21-E21-F21</f>
        <v>1150661.747712</v>
      </c>
      <c r="H21" s="300">
        <f>I21+J21+K21</f>
        <v>5366892.4799999995</v>
      </c>
      <c r="I21" s="301">
        <v>3947886.11</v>
      </c>
      <c r="J21" s="301">
        <v>268344.62</v>
      </c>
      <c r="K21" s="248">
        <v>1150661.75</v>
      </c>
      <c r="L21" s="271" t="s">
        <v>709</v>
      </c>
    </row>
    <row r="22" spans="1:13" s="91" customFormat="1" outlineLevel="1" x14ac:dyDescent="0.25">
      <c r="A22" s="260"/>
      <c r="B22" s="261" t="s">
        <v>67</v>
      </c>
      <c r="C22" s="245">
        <f>98318.31+110291.43</f>
        <v>208609.74</v>
      </c>
      <c r="D22" s="300">
        <f t="shared" si="7"/>
        <v>208609.74</v>
      </c>
      <c r="E22" s="301">
        <f>C22*0.7356</f>
        <v>153453.32474400001</v>
      </c>
      <c r="F22" s="301">
        <f>C22*5%</f>
        <v>10430.487000000001</v>
      </c>
      <c r="G22" s="248">
        <f>C22-E22-F22</f>
        <v>44725.928255999977</v>
      </c>
      <c r="H22" s="300">
        <f>I22+J22+K22</f>
        <v>208609.74000000002</v>
      </c>
      <c r="I22" s="301">
        <f>81130.38+72322.95</f>
        <v>153453.33000000002</v>
      </c>
      <c r="J22" s="301">
        <f>5514.57+4915.91</f>
        <v>10430.48</v>
      </c>
      <c r="K22" s="248">
        <f>23646.48+21079.45</f>
        <v>44725.93</v>
      </c>
      <c r="L22" s="271" t="s">
        <v>651</v>
      </c>
    </row>
    <row r="23" spans="1:13" s="395" customFormat="1" ht="30" customHeight="1" x14ac:dyDescent="0.2">
      <c r="A23" s="391">
        <v>6</v>
      </c>
      <c r="B23" s="392" t="s">
        <v>197</v>
      </c>
      <c r="C23" s="287">
        <f>SUM(C24:C25)</f>
        <v>5397091.9400000004</v>
      </c>
      <c r="D23" s="393">
        <f>SUM(E23:G23)</f>
        <v>5397091.9400000004</v>
      </c>
      <c r="E23" s="401">
        <f>SUM(E24:E25)</f>
        <v>4628060.3056693999</v>
      </c>
      <c r="F23" s="401">
        <f>SUM(F24:F25)</f>
        <v>269854.592</v>
      </c>
      <c r="G23" s="402">
        <f>SUM(G24:G25)</f>
        <v>499177.04233060044</v>
      </c>
      <c r="H23" s="393">
        <f>SUM(I23:K23)</f>
        <v>5397091.9399999995</v>
      </c>
      <c r="I23" s="401">
        <f>SUM(I24:I25)</f>
        <v>4628060.3099999996</v>
      </c>
      <c r="J23" s="401">
        <f>SUM(J24:J25)</f>
        <v>269854.59999999998</v>
      </c>
      <c r="K23" s="402">
        <f>SUM(K24:K25)</f>
        <v>499177.02999999997</v>
      </c>
      <c r="L23" s="400"/>
    </row>
    <row r="24" spans="1:13" s="91" customFormat="1" outlineLevel="1" x14ac:dyDescent="0.25">
      <c r="A24" s="260"/>
      <c r="B24" s="261" t="s">
        <v>555</v>
      </c>
      <c r="C24" s="245">
        <v>5286802.4400000004</v>
      </c>
      <c r="D24" s="300">
        <f t="shared" si="7"/>
        <v>5286802.4400000004</v>
      </c>
      <c r="E24" s="301">
        <v>4546931.3494694</v>
      </c>
      <c r="F24" s="301">
        <v>264340.11700000003</v>
      </c>
      <c r="G24" s="248">
        <v>475530.97353060043</v>
      </c>
      <c r="H24" s="300">
        <f>I24+J24+K24</f>
        <v>5286802.4399999995</v>
      </c>
      <c r="I24" s="301">
        <v>4546931.3499999996</v>
      </c>
      <c r="J24" s="301">
        <v>264340.12</v>
      </c>
      <c r="K24" s="248">
        <v>475530.97</v>
      </c>
      <c r="L24" s="271" t="s">
        <v>774</v>
      </c>
      <c r="M24" s="597">
        <v>42572</v>
      </c>
    </row>
    <row r="25" spans="1:13" s="91" customFormat="1" outlineLevel="1" x14ac:dyDescent="0.25">
      <c r="A25" s="260"/>
      <c r="B25" s="261" t="s">
        <v>67</v>
      </c>
      <c r="C25" s="245">
        <v>110289.5</v>
      </c>
      <c r="D25" s="300">
        <f t="shared" ref="D25" si="8">E25+F25+G25</f>
        <v>110289.5</v>
      </c>
      <c r="E25" s="301">
        <f>C25*0.7356</f>
        <v>81128.956200000001</v>
      </c>
      <c r="F25" s="301">
        <f>C25*5%</f>
        <v>5514.4750000000004</v>
      </c>
      <c r="G25" s="248">
        <f>C25-E25-F25</f>
        <v>23646.068800000001</v>
      </c>
      <c r="H25" s="300">
        <f>I25+J25+K25</f>
        <v>110289.5</v>
      </c>
      <c r="I25" s="301">
        <v>81128.960000000006</v>
      </c>
      <c r="J25" s="301">
        <v>5514.48</v>
      </c>
      <c r="K25" s="248">
        <v>23646.06</v>
      </c>
      <c r="L25" s="271" t="s">
        <v>643</v>
      </c>
    </row>
    <row r="26" spans="1:13" s="395" customFormat="1" ht="33" customHeight="1" x14ac:dyDescent="0.2">
      <c r="A26" s="391">
        <v>7</v>
      </c>
      <c r="B26" s="392" t="s">
        <v>198</v>
      </c>
      <c r="C26" s="287">
        <f>SUM(C27:C28)</f>
        <v>5221062.8899999997</v>
      </c>
      <c r="D26" s="393">
        <f>SUM(E26:G26)</f>
        <v>5221062.8899999997</v>
      </c>
      <c r="E26" s="401">
        <f>SUM(E27:E28)</f>
        <v>4477113.6350038992</v>
      </c>
      <c r="F26" s="401">
        <f>SUM(F27:F28)</f>
        <v>261053.13949999999</v>
      </c>
      <c r="G26" s="402">
        <f>SUM(G27:G28)</f>
        <v>482896.11549610045</v>
      </c>
      <c r="H26" s="393">
        <f>SUM(I26:K26)</f>
        <v>5221062.8899999997</v>
      </c>
      <c r="I26" s="401">
        <f>SUM(I27:I28)</f>
        <v>4477113.6399999997</v>
      </c>
      <c r="J26" s="401">
        <f>SUM(J27:J28)</f>
        <v>261053.14</v>
      </c>
      <c r="K26" s="402">
        <f>SUM(K27:K28)</f>
        <v>482896.11</v>
      </c>
      <c r="L26" s="400"/>
    </row>
    <row r="27" spans="1:13" s="91" customFormat="1" outlineLevel="1" x14ac:dyDescent="0.25">
      <c r="A27" s="260"/>
      <c r="B27" s="261" t="s">
        <v>555</v>
      </c>
      <c r="C27" s="245">
        <v>5110773.3899999997</v>
      </c>
      <c r="D27" s="300">
        <f>SUM(E27:G27)</f>
        <v>5110773.3899999997</v>
      </c>
      <c r="E27" s="301">
        <v>4395984.6788038993</v>
      </c>
      <c r="F27" s="301">
        <v>255538.66449999998</v>
      </c>
      <c r="G27" s="248">
        <v>459250.04669610044</v>
      </c>
      <c r="H27" s="300">
        <f>SUM(I27:K27)</f>
        <v>5110773.3899999997</v>
      </c>
      <c r="I27" s="301">
        <v>4395984.68</v>
      </c>
      <c r="J27" s="301">
        <v>255538.66</v>
      </c>
      <c r="K27" s="248">
        <v>459250.05</v>
      </c>
      <c r="L27" s="271" t="s">
        <v>774</v>
      </c>
      <c r="M27" s="597">
        <v>42572</v>
      </c>
    </row>
    <row r="28" spans="1:13" s="91" customFormat="1" outlineLevel="1" x14ac:dyDescent="0.25">
      <c r="A28" s="260"/>
      <c r="B28" s="261" t="s">
        <v>67</v>
      </c>
      <c r="C28" s="245">
        <v>110289.5</v>
      </c>
      <c r="D28" s="300">
        <f t="shared" ref="D28" si="9">E28+F28+G28</f>
        <v>110289.5</v>
      </c>
      <c r="E28" s="301">
        <f>C28*0.7356</f>
        <v>81128.956200000001</v>
      </c>
      <c r="F28" s="301">
        <f>C28*5%</f>
        <v>5514.4750000000004</v>
      </c>
      <c r="G28" s="248">
        <f>C28-E28-F28</f>
        <v>23646.068800000001</v>
      </c>
      <c r="H28" s="300">
        <f>SUM(I28:K28)</f>
        <v>110289.5</v>
      </c>
      <c r="I28" s="301">
        <v>81128.960000000006</v>
      </c>
      <c r="J28" s="301">
        <v>5514.48</v>
      </c>
      <c r="K28" s="248">
        <v>23646.06</v>
      </c>
      <c r="L28" s="271" t="s">
        <v>643</v>
      </c>
    </row>
    <row r="29" spans="1:13" s="54" customFormat="1" ht="30" customHeight="1" x14ac:dyDescent="0.25">
      <c r="A29" s="213">
        <v>8</v>
      </c>
      <c r="B29" s="60" t="s">
        <v>199</v>
      </c>
      <c r="C29" s="58">
        <f>SUM(C30:C32)</f>
        <v>3362901.11</v>
      </c>
      <c r="D29" s="13">
        <f>SUM(E29:G29)</f>
        <v>3362901.1099999994</v>
      </c>
      <c r="E29" s="44">
        <f>SUM(E30:E32)</f>
        <v>2473750.0565160001</v>
      </c>
      <c r="F29" s="44">
        <f>SUM(F30:F32)</f>
        <v>168145.05549999999</v>
      </c>
      <c r="G29" s="297">
        <f>SUM(G30:G32)</f>
        <v>721005.99798399978</v>
      </c>
      <c r="H29" s="13">
        <f>SUM(I29:K29)</f>
        <v>3362901.1100000003</v>
      </c>
      <c r="I29" s="44">
        <f>SUM(I30:I32)</f>
        <v>2473750.06</v>
      </c>
      <c r="J29" s="44">
        <f>SUM(J30:J32)</f>
        <v>168145.06</v>
      </c>
      <c r="K29" s="297">
        <f>SUM(K30:K32)</f>
        <v>721005.99</v>
      </c>
      <c r="L29" s="79"/>
    </row>
    <row r="30" spans="1:13" s="91" customFormat="1" outlineLevel="1" x14ac:dyDescent="0.25">
      <c r="A30" s="260"/>
      <c r="B30" s="261" t="s">
        <v>555</v>
      </c>
      <c r="C30" s="245">
        <v>3183108.15</v>
      </c>
      <c r="D30" s="300">
        <f t="shared" ref="D30" si="10">E30+F30+G30</f>
        <v>3183108.1500000004</v>
      </c>
      <c r="E30" s="301">
        <f>C30*0.7356</f>
        <v>2341494.3551400001</v>
      </c>
      <c r="F30" s="301">
        <f>C30*5%</f>
        <v>159155.4075</v>
      </c>
      <c r="G30" s="248">
        <f>C30-E30-F30</f>
        <v>682458.38735999982</v>
      </c>
      <c r="H30" s="300">
        <f t="shared" ref="H30" si="11">I30+J30+K30</f>
        <v>3183108.15</v>
      </c>
      <c r="I30" s="301">
        <v>2341494.36</v>
      </c>
      <c r="J30" s="301">
        <v>159155.41</v>
      </c>
      <c r="K30" s="248">
        <v>682458.38</v>
      </c>
      <c r="L30" s="271" t="s">
        <v>710</v>
      </c>
    </row>
    <row r="31" spans="1:13" outlineLevel="1" x14ac:dyDescent="0.25">
      <c r="A31" s="10"/>
      <c r="B31" s="43" t="s">
        <v>557</v>
      </c>
      <c r="C31" s="59"/>
      <c r="D31" s="29"/>
      <c r="E31" s="12"/>
      <c r="F31" s="12"/>
      <c r="G31" s="16"/>
      <c r="H31" s="29"/>
      <c r="I31" s="12"/>
      <c r="J31" s="12"/>
      <c r="K31" s="16"/>
      <c r="L31" s="28"/>
    </row>
    <row r="32" spans="1:13" s="91" customFormat="1" outlineLevel="1" x14ac:dyDescent="0.25">
      <c r="A32" s="260"/>
      <c r="B32" s="261" t="s">
        <v>67</v>
      </c>
      <c r="C32" s="245">
        <v>179792.96</v>
      </c>
      <c r="D32" s="300">
        <f t="shared" ref="D32" si="12">E32+F32+G32</f>
        <v>179792.95999999996</v>
      </c>
      <c r="E32" s="301">
        <f>C32*0.7356</f>
        <v>132255.70137600001</v>
      </c>
      <c r="F32" s="301">
        <f>C32*5%</f>
        <v>8989.6479999999992</v>
      </c>
      <c r="G32" s="248">
        <f>C32-E32-F32</f>
        <v>38547.610623999979</v>
      </c>
      <c r="H32" s="300">
        <f>I32+J32+K32</f>
        <v>179792.96000000002</v>
      </c>
      <c r="I32" s="301">
        <v>132255.70000000001</v>
      </c>
      <c r="J32" s="301">
        <v>8989.65</v>
      </c>
      <c r="K32" s="248">
        <v>38547.61</v>
      </c>
      <c r="L32" s="271" t="s">
        <v>643</v>
      </c>
    </row>
    <row r="33" spans="1:12" s="395" customFormat="1" ht="29.25" customHeight="1" x14ac:dyDescent="0.2">
      <c r="A33" s="391">
        <v>9</v>
      </c>
      <c r="B33" s="392" t="s">
        <v>209</v>
      </c>
      <c r="C33" s="287">
        <f>SUM(C34:C35)</f>
        <v>5053073.68</v>
      </c>
      <c r="D33" s="393">
        <f>SUM(E33:G33)</f>
        <v>5053073.68</v>
      </c>
      <c r="E33" s="401">
        <f>SUM(E34:E35)</f>
        <v>2424432.7286080001</v>
      </c>
      <c r="F33" s="401">
        <f>SUM(F34:F35)</f>
        <v>252653.68400000001</v>
      </c>
      <c r="G33" s="402">
        <f>SUM(G34:G35)</f>
        <v>2375987.2673920002</v>
      </c>
      <c r="H33" s="393">
        <f>SUM(I33:K33)</f>
        <v>5053073.68</v>
      </c>
      <c r="I33" s="401">
        <f>SUM(I34:I35)</f>
        <v>2398997.2599999998</v>
      </c>
      <c r="J33" s="401">
        <f>SUM(J34:J35)</f>
        <v>252653.68</v>
      </c>
      <c r="K33" s="402">
        <f>SUM(K34:K35)</f>
        <v>2401422.7400000002</v>
      </c>
      <c r="L33" s="400"/>
    </row>
    <row r="34" spans="1:12" s="91" customFormat="1" outlineLevel="1" x14ac:dyDescent="0.25">
      <c r="A34" s="260"/>
      <c r="B34" s="261" t="s">
        <v>555</v>
      </c>
      <c r="C34" s="245">
        <v>4955560</v>
      </c>
      <c r="D34" s="300">
        <f>E34+F34+G34</f>
        <v>4955560</v>
      </c>
      <c r="E34" s="301">
        <f>C34*0.47476</f>
        <v>2352701.6655999999</v>
      </c>
      <c r="F34" s="301">
        <f>C34*0.05</f>
        <v>247778</v>
      </c>
      <c r="G34" s="248">
        <f>C34-E34-F34</f>
        <v>2355080.3344000001</v>
      </c>
      <c r="H34" s="300">
        <f>I34+J34+K34</f>
        <v>4955560</v>
      </c>
      <c r="I34" s="301">
        <v>2327266.19</v>
      </c>
      <c r="J34" s="301">
        <v>247778</v>
      </c>
      <c r="K34" s="248">
        <v>2380515.81</v>
      </c>
      <c r="L34" s="271" t="s">
        <v>751</v>
      </c>
    </row>
    <row r="35" spans="1:12" s="91" customFormat="1" outlineLevel="1" x14ac:dyDescent="0.25">
      <c r="A35" s="260"/>
      <c r="B35" s="261" t="s">
        <v>67</v>
      </c>
      <c r="C35" s="245">
        <v>97513.68</v>
      </c>
      <c r="D35" s="300">
        <f t="shared" ref="D35" si="13">E35+F35+G35</f>
        <v>97513.68</v>
      </c>
      <c r="E35" s="301">
        <f>C35*0.7356</f>
        <v>71731.063007999997</v>
      </c>
      <c r="F35" s="301">
        <f>C35*5%</f>
        <v>4875.6840000000002</v>
      </c>
      <c r="G35" s="248">
        <f>C35-E35-F35</f>
        <v>20906.932991999995</v>
      </c>
      <c r="H35" s="300">
        <f>I35+J35+K35</f>
        <v>97513.68</v>
      </c>
      <c r="I35" s="301">
        <v>71731.070000000007</v>
      </c>
      <c r="J35" s="301">
        <v>4875.68</v>
      </c>
      <c r="K35" s="248">
        <v>20906.93</v>
      </c>
      <c r="L35" s="271" t="s">
        <v>650</v>
      </c>
    </row>
    <row r="36" spans="1:12" s="9" customFormat="1" ht="35.25" customHeight="1" x14ac:dyDescent="0.2">
      <c r="A36" s="140">
        <v>10</v>
      </c>
      <c r="B36" s="60" t="s">
        <v>207</v>
      </c>
      <c r="C36" s="58">
        <f>SUM(C37:C38)</f>
        <v>97418.59</v>
      </c>
      <c r="D36" s="13">
        <f>SUM(E36:G36)</f>
        <v>97418.59</v>
      </c>
      <c r="E36" s="44">
        <f>SUM(E37:E38)</f>
        <v>71661.114803999997</v>
      </c>
      <c r="F36" s="44">
        <f>SUM(F37:F38)</f>
        <v>4870.9295000000002</v>
      </c>
      <c r="G36" s="297">
        <f>SUM(G37:G38)</f>
        <v>20886.545696000001</v>
      </c>
      <c r="H36" s="13">
        <f>SUM(I36:K36)</f>
        <v>97418.590000000011</v>
      </c>
      <c r="I36" s="44">
        <f>SUM(I37:I38)</f>
        <v>71661.11</v>
      </c>
      <c r="J36" s="44">
        <f>SUM(J37:J38)</f>
        <v>4870.93</v>
      </c>
      <c r="K36" s="297">
        <f>SUM(K37:K38)</f>
        <v>20886.55</v>
      </c>
      <c r="L36" s="35"/>
    </row>
    <row r="37" spans="1:12" outlineLevel="1" x14ac:dyDescent="0.25">
      <c r="A37" s="10"/>
      <c r="B37" s="43" t="s">
        <v>555</v>
      </c>
      <c r="C37" s="59"/>
      <c r="D37" s="29">
        <f>SUM(E37:G37)</f>
        <v>0</v>
      </c>
      <c r="E37" s="12"/>
      <c r="F37" s="12"/>
      <c r="G37" s="16"/>
      <c r="H37" s="29">
        <f>SUM(I37:K37)</f>
        <v>0</v>
      </c>
      <c r="I37" s="12"/>
      <c r="J37" s="12"/>
      <c r="K37" s="16"/>
      <c r="L37" s="28"/>
    </row>
    <row r="38" spans="1:12" s="91" customFormat="1" outlineLevel="1" x14ac:dyDescent="0.25">
      <c r="A38" s="260"/>
      <c r="B38" s="261" t="s">
        <v>67</v>
      </c>
      <c r="C38" s="245">
        <v>97418.59</v>
      </c>
      <c r="D38" s="300">
        <f t="shared" ref="D38" si="14">E38+F38+G38</f>
        <v>97418.59</v>
      </c>
      <c r="E38" s="301">
        <f>C38*0.7356</f>
        <v>71661.114803999997</v>
      </c>
      <c r="F38" s="301">
        <f>C38*5%</f>
        <v>4870.9295000000002</v>
      </c>
      <c r="G38" s="248">
        <f>C38-E38-F38</f>
        <v>20886.545696000001</v>
      </c>
      <c r="H38" s="300">
        <f>I38+J38+K38</f>
        <v>97418.590000000011</v>
      </c>
      <c r="I38" s="301">
        <v>71661.11</v>
      </c>
      <c r="J38" s="301">
        <v>4870.93</v>
      </c>
      <c r="K38" s="248">
        <v>20886.55</v>
      </c>
      <c r="L38" s="271" t="s">
        <v>650</v>
      </c>
    </row>
    <row r="39" spans="1:12" s="9" customFormat="1" ht="27" customHeight="1" x14ac:dyDescent="0.2">
      <c r="A39" s="140">
        <v>11</v>
      </c>
      <c r="B39" s="60" t="s">
        <v>200</v>
      </c>
      <c r="C39" s="58">
        <f>SUM(C40:C41)</f>
        <v>88767.29</v>
      </c>
      <c r="D39" s="13">
        <f>SUM(E39:G39)</f>
        <v>88767.29</v>
      </c>
      <c r="E39" s="44">
        <f>SUM(E40:E41)</f>
        <v>65297.218523999996</v>
      </c>
      <c r="F39" s="44">
        <f>SUM(F40:F41)</f>
        <v>4438.3644999999997</v>
      </c>
      <c r="G39" s="297">
        <f>SUM(G40:G41)</f>
        <v>19031.706975999998</v>
      </c>
      <c r="H39" s="13">
        <f>SUM(I39:K39)</f>
        <v>88767.290000000008</v>
      </c>
      <c r="I39" s="44">
        <f>SUM(I40:I41)</f>
        <v>65297.22</v>
      </c>
      <c r="J39" s="44">
        <f>SUM(J40:J41)</f>
        <v>4438.3599999999997</v>
      </c>
      <c r="K39" s="297">
        <f>SUM(K40:K41)</f>
        <v>19031.71</v>
      </c>
      <c r="L39" s="35"/>
    </row>
    <row r="40" spans="1:12" ht="12.75" customHeight="1" outlineLevel="1" x14ac:dyDescent="0.25">
      <c r="A40" s="10"/>
      <c r="B40" s="43" t="s">
        <v>557</v>
      </c>
      <c r="C40" s="59"/>
      <c r="D40" s="29"/>
      <c r="E40" s="12"/>
      <c r="F40" s="12"/>
      <c r="G40" s="16"/>
      <c r="H40" s="29"/>
      <c r="I40" s="12"/>
      <c r="J40" s="12"/>
      <c r="K40" s="16"/>
      <c r="L40" s="28"/>
    </row>
    <row r="41" spans="1:12" s="91" customFormat="1" ht="12.75" customHeight="1" outlineLevel="1" x14ac:dyDescent="0.25">
      <c r="A41" s="260"/>
      <c r="B41" s="261" t="s">
        <v>67</v>
      </c>
      <c r="C41" s="245">
        <v>88767.29</v>
      </c>
      <c r="D41" s="300">
        <f t="shared" ref="D41" si="15">E41+F41+G41</f>
        <v>88767.29</v>
      </c>
      <c r="E41" s="301">
        <f>C41*0.7356</f>
        <v>65297.218523999996</v>
      </c>
      <c r="F41" s="301">
        <f>C41*5%</f>
        <v>4438.3644999999997</v>
      </c>
      <c r="G41" s="248">
        <f>C41-E41-F41</f>
        <v>19031.706975999998</v>
      </c>
      <c r="H41" s="300">
        <f>I41+J41+K41</f>
        <v>88767.290000000008</v>
      </c>
      <c r="I41" s="301">
        <v>65297.22</v>
      </c>
      <c r="J41" s="301">
        <v>4438.3599999999997</v>
      </c>
      <c r="K41" s="248">
        <v>19031.71</v>
      </c>
      <c r="L41" s="271" t="s">
        <v>643</v>
      </c>
    </row>
    <row r="42" spans="1:12" s="9" customFormat="1" ht="36.75" customHeight="1" x14ac:dyDescent="0.2">
      <c r="A42" s="140">
        <v>12</v>
      </c>
      <c r="B42" s="60" t="s">
        <v>201</v>
      </c>
      <c r="C42" s="58">
        <f>SUM(C43:C44)</f>
        <v>99692.98</v>
      </c>
      <c r="D42" s="13">
        <f>SUM(E42:G42)</f>
        <v>99692.98</v>
      </c>
      <c r="E42" s="44">
        <f>SUM(E43:E44)</f>
        <v>73334.156088000003</v>
      </c>
      <c r="F42" s="44">
        <f>SUM(F43:F44)</f>
        <v>4984.6490000000003</v>
      </c>
      <c r="G42" s="297">
        <f>SUM(G43:G44)</f>
        <v>21374.174911999991</v>
      </c>
      <c r="H42" s="13">
        <f>SUM(I42:K42)</f>
        <v>99692.979999999981</v>
      </c>
      <c r="I42" s="44">
        <f>SUM(I43:I44)</f>
        <v>73334.149999999994</v>
      </c>
      <c r="J42" s="44">
        <f>SUM(J43:J44)</f>
        <v>4984.6499999999996</v>
      </c>
      <c r="K42" s="297">
        <f>SUM(K43:K44)</f>
        <v>21374.18</v>
      </c>
      <c r="L42" s="35"/>
    </row>
    <row r="43" spans="1:12" outlineLevel="1" x14ac:dyDescent="0.25">
      <c r="A43" s="10"/>
      <c r="B43" s="43" t="s">
        <v>557</v>
      </c>
      <c r="C43" s="59"/>
      <c r="D43" s="29"/>
      <c r="E43" s="12"/>
      <c r="F43" s="12"/>
      <c r="G43" s="16"/>
      <c r="H43" s="29"/>
      <c r="I43" s="12"/>
      <c r="J43" s="12"/>
      <c r="K43" s="16"/>
      <c r="L43" s="28"/>
    </row>
    <row r="44" spans="1:12" s="91" customFormat="1" outlineLevel="1" x14ac:dyDescent="0.25">
      <c r="A44" s="260"/>
      <c r="B44" s="261" t="s">
        <v>67</v>
      </c>
      <c r="C44" s="245">
        <v>99692.98</v>
      </c>
      <c r="D44" s="300">
        <f t="shared" ref="D44" si="16">E44+F44+G44</f>
        <v>99692.98</v>
      </c>
      <c r="E44" s="301">
        <f>C44*0.7356</f>
        <v>73334.156088000003</v>
      </c>
      <c r="F44" s="301">
        <f>C44*5%</f>
        <v>4984.6490000000003</v>
      </c>
      <c r="G44" s="248">
        <f>C44-E44-F44</f>
        <v>21374.174911999991</v>
      </c>
      <c r="H44" s="300">
        <f>I44+J44+K44</f>
        <v>99692.979999999981</v>
      </c>
      <c r="I44" s="301">
        <v>73334.149999999994</v>
      </c>
      <c r="J44" s="301">
        <v>4984.6499999999996</v>
      </c>
      <c r="K44" s="248">
        <v>21374.18</v>
      </c>
      <c r="L44" s="271" t="s">
        <v>643</v>
      </c>
    </row>
    <row r="45" spans="1:12" s="9" customFormat="1" ht="33.75" customHeight="1" x14ac:dyDescent="0.2">
      <c r="A45" s="391">
        <v>13</v>
      </c>
      <c r="B45" s="392" t="s">
        <v>208</v>
      </c>
      <c r="C45" s="287">
        <f>SUM(C46:C47)</f>
        <v>3363251.05</v>
      </c>
      <c r="D45" s="393">
        <f>SUM(E45:G45)</f>
        <v>3363251.0500000003</v>
      </c>
      <c r="E45" s="401">
        <f>SUM(E46:E47)</f>
        <v>2474007.4723800002</v>
      </c>
      <c r="F45" s="401">
        <f>SUM(F46:F47)</f>
        <v>168162.55250000002</v>
      </c>
      <c r="G45" s="402">
        <f>SUM(G46:G47)</f>
        <v>721081.02511999989</v>
      </c>
      <c r="H45" s="393">
        <f>SUM(I45:K45)</f>
        <v>3363251.05</v>
      </c>
      <c r="I45" s="401">
        <f>SUM(I46:I47)</f>
        <v>2474007.4699999997</v>
      </c>
      <c r="J45" s="401">
        <f>SUM(J46:J47)</f>
        <v>168162.55</v>
      </c>
      <c r="K45" s="402">
        <f>SUM(K46:K47)</f>
        <v>721081.03</v>
      </c>
      <c r="L45" s="400"/>
    </row>
    <row r="46" spans="1:12" s="91" customFormat="1" outlineLevel="1" x14ac:dyDescent="0.25">
      <c r="A46" s="260"/>
      <c r="B46" s="261" t="s">
        <v>555</v>
      </c>
      <c r="C46" s="245">
        <v>3265832.46</v>
      </c>
      <c r="D46" s="300">
        <f t="shared" ref="D46:D47" si="17">E46+F46+G46</f>
        <v>3265832.46</v>
      </c>
      <c r="E46" s="301">
        <f>C46*0.7356</f>
        <v>2402346.357576</v>
      </c>
      <c r="F46" s="301">
        <f>C46*5%</f>
        <v>163291.62300000002</v>
      </c>
      <c r="G46" s="248">
        <f>C46-E46-F46</f>
        <v>700194.4794239999</v>
      </c>
      <c r="H46" s="300">
        <f t="shared" ref="H46" si="18">I46+J46+K46</f>
        <v>3265832.46</v>
      </c>
      <c r="I46" s="301">
        <v>2402346.36</v>
      </c>
      <c r="J46" s="301">
        <v>163291.62</v>
      </c>
      <c r="K46" s="248">
        <v>700194.48</v>
      </c>
      <c r="L46" s="271" t="s">
        <v>712</v>
      </c>
    </row>
    <row r="47" spans="1:12" s="91" customFormat="1" outlineLevel="1" x14ac:dyDescent="0.25">
      <c r="A47" s="260"/>
      <c r="B47" s="261" t="s">
        <v>67</v>
      </c>
      <c r="C47" s="245">
        <v>97418.59</v>
      </c>
      <c r="D47" s="300">
        <f t="shared" si="17"/>
        <v>97418.59</v>
      </c>
      <c r="E47" s="301">
        <f>C47*0.7356</f>
        <v>71661.114803999997</v>
      </c>
      <c r="F47" s="301">
        <f>C47*5%</f>
        <v>4870.9295000000002</v>
      </c>
      <c r="G47" s="248">
        <f>C47-E47-F47</f>
        <v>20886.545696000001</v>
      </c>
      <c r="H47" s="300">
        <f>I47+J47+K47</f>
        <v>97418.590000000011</v>
      </c>
      <c r="I47" s="301">
        <v>71661.11</v>
      </c>
      <c r="J47" s="301">
        <v>4870.93</v>
      </c>
      <c r="K47" s="248">
        <v>20886.55</v>
      </c>
      <c r="L47" s="271" t="s">
        <v>650</v>
      </c>
    </row>
    <row r="48" spans="1:12" s="395" customFormat="1" ht="26.25" customHeight="1" x14ac:dyDescent="0.2">
      <c r="A48" s="391">
        <v>14</v>
      </c>
      <c r="B48" s="392" t="s">
        <v>202</v>
      </c>
      <c r="C48" s="287">
        <f>SUM(C49:C50)</f>
        <v>7223663.1899999995</v>
      </c>
      <c r="D48" s="393">
        <f>SUM(E48:G48)</f>
        <v>7223663.1900000004</v>
      </c>
      <c r="E48" s="401">
        <f>SUM(E49:E50)</f>
        <v>5313726.6425640006</v>
      </c>
      <c r="F48" s="401">
        <f>SUM(F49:F50)</f>
        <v>361183.15950000001</v>
      </c>
      <c r="G48" s="402">
        <f>SUM(G49:G50)</f>
        <v>1548753.3879359995</v>
      </c>
      <c r="H48" s="393">
        <f>SUM(I48:K48)</f>
        <v>7223663.1899999995</v>
      </c>
      <c r="I48" s="401">
        <f>SUM(I49:I50)</f>
        <v>5313726.6399999997</v>
      </c>
      <c r="J48" s="401">
        <f>SUM(J49:J50)</f>
        <v>361183.16000000003</v>
      </c>
      <c r="K48" s="402">
        <f>SUM(K49:K50)</f>
        <v>1548753.39</v>
      </c>
      <c r="L48" s="400"/>
    </row>
    <row r="49" spans="1:13" s="91" customFormat="1" outlineLevel="1" x14ac:dyDescent="0.25">
      <c r="A49" s="260"/>
      <c r="B49" s="261" t="s">
        <v>555</v>
      </c>
      <c r="C49" s="245">
        <v>7125668.0499999998</v>
      </c>
      <c r="D49" s="300">
        <f t="shared" ref="D49" si="19">E49+F49+G49</f>
        <v>7125668.0499999998</v>
      </c>
      <c r="E49" s="301">
        <f>C49*0.7356</f>
        <v>5241641.4175800001</v>
      </c>
      <c r="F49" s="301">
        <f>C49*5%</f>
        <v>356283.40250000003</v>
      </c>
      <c r="G49" s="248">
        <f>C49-E49-F49</f>
        <v>1527743.2299199996</v>
      </c>
      <c r="H49" s="300">
        <f t="shared" ref="H49" si="20">I49+J49+K49</f>
        <v>7125668.0500000007</v>
      </c>
      <c r="I49" s="301">
        <v>5241641.42</v>
      </c>
      <c r="J49" s="301">
        <v>356283.4</v>
      </c>
      <c r="K49" s="248">
        <v>1527743.23</v>
      </c>
      <c r="L49" s="271" t="s">
        <v>710</v>
      </c>
    </row>
    <row r="50" spans="1:13" s="91" customFormat="1" outlineLevel="1" x14ac:dyDescent="0.25">
      <c r="A50" s="260"/>
      <c r="B50" s="261" t="s">
        <v>67</v>
      </c>
      <c r="C50" s="245">
        <v>97995.14</v>
      </c>
      <c r="D50" s="300">
        <f t="shared" ref="D50" si="21">E50+F50+G50</f>
        <v>97995.14</v>
      </c>
      <c r="E50" s="301">
        <f>C50*0.7356</f>
        <v>72085.224984</v>
      </c>
      <c r="F50" s="301">
        <f>C50*5%</f>
        <v>4899.7570000000005</v>
      </c>
      <c r="G50" s="248">
        <f>C50-E50-F50</f>
        <v>21010.158015999998</v>
      </c>
      <c r="H50" s="300">
        <f>I50+J50+K50</f>
        <v>97995.14</v>
      </c>
      <c r="I50" s="301">
        <v>72085.22</v>
      </c>
      <c r="J50" s="301">
        <v>4899.76</v>
      </c>
      <c r="K50" s="248">
        <v>21010.16</v>
      </c>
      <c r="L50" s="271" t="s">
        <v>643</v>
      </c>
    </row>
    <row r="51" spans="1:13" s="9" customFormat="1" ht="29.25" customHeight="1" x14ac:dyDescent="0.2">
      <c r="A51" s="140">
        <v>15</v>
      </c>
      <c r="B51" s="60" t="s">
        <v>203</v>
      </c>
      <c r="C51" s="58">
        <f>SUM(C52:C53)</f>
        <v>104944.98</v>
      </c>
      <c r="D51" s="13">
        <f>SUM(E51:G51)</f>
        <v>104944.98</v>
      </c>
      <c r="E51" s="44">
        <f>SUM(E52:E53)</f>
        <v>77197.527287999997</v>
      </c>
      <c r="F51" s="44">
        <f>SUM(F52:F53)</f>
        <v>5247.2489999999998</v>
      </c>
      <c r="G51" s="297">
        <f>SUM(G52:G53)</f>
        <v>22500.203711999999</v>
      </c>
      <c r="H51" s="13">
        <f>SUM(I51:K51)</f>
        <v>104944.98</v>
      </c>
      <c r="I51" s="44">
        <f>SUM(I52:I53)</f>
        <v>77197.53</v>
      </c>
      <c r="J51" s="44">
        <f>SUM(J52:J53)</f>
        <v>5247.25</v>
      </c>
      <c r="K51" s="297">
        <f>SUM(K52:K53)</f>
        <v>22500.2</v>
      </c>
      <c r="L51" s="35"/>
    </row>
    <row r="52" spans="1:13" outlineLevel="1" x14ac:dyDescent="0.25">
      <c r="A52" s="10"/>
      <c r="B52" s="43" t="s">
        <v>557</v>
      </c>
      <c r="C52" s="59"/>
      <c r="D52" s="29"/>
      <c r="E52" s="12"/>
      <c r="F52" s="12"/>
      <c r="G52" s="16"/>
      <c r="H52" s="29"/>
      <c r="I52" s="12"/>
      <c r="J52" s="12"/>
      <c r="K52" s="16"/>
      <c r="L52" s="28"/>
    </row>
    <row r="53" spans="1:13" s="91" customFormat="1" outlineLevel="1" x14ac:dyDescent="0.25">
      <c r="A53" s="260"/>
      <c r="B53" s="261" t="s">
        <v>67</v>
      </c>
      <c r="C53" s="245">
        <v>104944.98</v>
      </c>
      <c r="D53" s="300">
        <f t="shared" ref="D53" si="22">E53+F53+G53</f>
        <v>104944.98</v>
      </c>
      <c r="E53" s="301">
        <f>C53*0.7356</f>
        <v>77197.527287999997</v>
      </c>
      <c r="F53" s="301">
        <f>C53*5%</f>
        <v>5247.2489999999998</v>
      </c>
      <c r="G53" s="248">
        <f>C53-E53-F53</f>
        <v>22500.203711999999</v>
      </c>
      <c r="H53" s="300">
        <f>I53+J53+K53</f>
        <v>104944.98</v>
      </c>
      <c r="I53" s="301">
        <v>77197.53</v>
      </c>
      <c r="J53" s="301">
        <v>5247.25</v>
      </c>
      <c r="K53" s="248">
        <v>22500.2</v>
      </c>
      <c r="L53" s="271" t="s">
        <v>643</v>
      </c>
    </row>
    <row r="54" spans="1:13" s="9" customFormat="1" ht="32.25" customHeight="1" x14ac:dyDescent="0.2">
      <c r="A54" s="140">
        <v>16</v>
      </c>
      <c r="B54" s="60" t="s">
        <v>47</v>
      </c>
      <c r="C54" s="58">
        <f>SUM(C55:C56)</f>
        <v>102256.78</v>
      </c>
      <c r="D54" s="13">
        <f>SUM(E54:G54)</f>
        <v>102256.78</v>
      </c>
      <c r="E54" s="44">
        <f>SUM(E55:E56)</f>
        <v>75220.087368000008</v>
      </c>
      <c r="F54" s="44">
        <f>SUM(F55:F56)</f>
        <v>5112.8389999999999</v>
      </c>
      <c r="G54" s="297">
        <f>SUM(G55:G56)</f>
        <v>21923.853631999991</v>
      </c>
      <c r="H54" s="13">
        <f>SUM(I54:K54)</f>
        <v>102256.78</v>
      </c>
      <c r="I54" s="44">
        <f>SUM(I55:I56)</f>
        <v>75220.09</v>
      </c>
      <c r="J54" s="44">
        <f>SUM(J55:J56)</f>
        <v>5112.84</v>
      </c>
      <c r="K54" s="297">
        <f>SUM(K55:K56)</f>
        <v>21923.85</v>
      </c>
      <c r="L54" s="35"/>
    </row>
    <row r="55" spans="1:13" outlineLevel="1" x14ac:dyDescent="0.25">
      <c r="A55" s="10"/>
      <c r="B55" s="43" t="s">
        <v>557</v>
      </c>
      <c r="C55" s="59"/>
      <c r="D55" s="29"/>
      <c r="E55" s="12"/>
      <c r="F55" s="12"/>
      <c r="G55" s="16"/>
      <c r="H55" s="29"/>
      <c r="I55" s="12"/>
      <c r="J55" s="12"/>
      <c r="K55" s="16"/>
      <c r="L55" s="28"/>
    </row>
    <row r="56" spans="1:13" s="91" customFormat="1" outlineLevel="1" x14ac:dyDescent="0.25">
      <c r="A56" s="260"/>
      <c r="B56" s="261" t="s">
        <v>67</v>
      </c>
      <c r="C56" s="245">
        <v>102256.78</v>
      </c>
      <c r="D56" s="300">
        <f t="shared" ref="D56" si="23">E56+F56+G56</f>
        <v>102256.78</v>
      </c>
      <c r="E56" s="301">
        <f>C56*0.7356</f>
        <v>75220.087368000008</v>
      </c>
      <c r="F56" s="301">
        <f>C56*5%</f>
        <v>5112.8389999999999</v>
      </c>
      <c r="G56" s="248">
        <f>C56-E56-F56</f>
        <v>21923.853631999991</v>
      </c>
      <c r="H56" s="300">
        <f>I56+J56+K56</f>
        <v>102256.78</v>
      </c>
      <c r="I56" s="301">
        <v>75220.09</v>
      </c>
      <c r="J56" s="301">
        <v>5112.84</v>
      </c>
      <c r="K56" s="248">
        <v>21923.85</v>
      </c>
      <c r="L56" s="271" t="s">
        <v>643</v>
      </c>
    </row>
    <row r="57" spans="1:13" s="395" customFormat="1" ht="24" customHeight="1" x14ac:dyDescent="0.2">
      <c r="A57" s="391">
        <v>17</v>
      </c>
      <c r="B57" s="392" t="s">
        <v>204</v>
      </c>
      <c r="C57" s="287">
        <f>SUM(C58:C59)</f>
        <v>5051813.2200000007</v>
      </c>
      <c r="D57" s="393">
        <f>SUM(E57:G57)</f>
        <v>5051813.2200000007</v>
      </c>
      <c r="E57" s="401">
        <f>SUM(E58:E59)</f>
        <v>3716113.8046320002</v>
      </c>
      <c r="F57" s="401">
        <f>SUM(F58:F59)</f>
        <v>252590.66100000002</v>
      </c>
      <c r="G57" s="402">
        <f>SUM(G58:G59)</f>
        <v>1083108.7543680002</v>
      </c>
      <c r="H57" s="393">
        <f>SUM(I57:K57)</f>
        <v>5051813.22</v>
      </c>
      <c r="I57" s="401">
        <f>SUM(I58:I59)</f>
        <v>3716113.8</v>
      </c>
      <c r="J57" s="401">
        <f>SUM(J58:J59)</f>
        <v>252590.66</v>
      </c>
      <c r="K57" s="402">
        <f>SUM(K58:K59)</f>
        <v>1083108.76</v>
      </c>
      <c r="L57" s="400"/>
    </row>
    <row r="58" spans="1:13" s="91" customFormat="1" outlineLevel="1" x14ac:dyDescent="0.25">
      <c r="A58" s="267"/>
      <c r="B58" s="261" t="s">
        <v>64</v>
      </c>
      <c r="C58" s="355">
        <f>4965618.49</f>
        <v>4965618.49</v>
      </c>
      <c r="D58" s="300">
        <f t="shared" ref="D58" si="24">E58+F58+G58</f>
        <v>4965618.49</v>
      </c>
      <c r="E58" s="301">
        <f>C58*0.7356</f>
        <v>3652708.9612440001</v>
      </c>
      <c r="F58" s="301">
        <f>C58*5%</f>
        <v>248280.92450000002</v>
      </c>
      <c r="G58" s="248">
        <f>C58-E58-F58</f>
        <v>1064628.6042560001</v>
      </c>
      <c r="H58" s="498">
        <f>I58+J58+K58</f>
        <v>4965618.49</v>
      </c>
      <c r="I58" s="356">
        <v>3652708.96</v>
      </c>
      <c r="J58" s="356">
        <v>248280.93</v>
      </c>
      <c r="K58" s="357">
        <v>1064628.6000000001</v>
      </c>
      <c r="L58" s="342" t="s">
        <v>653</v>
      </c>
    </row>
    <row r="59" spans="1:13" s="91" customFormat="1" outlineLevel="1" x14ac:dyDescent="0.25">
      <c r="A59" s="267"/>
      <c r="B59" s="261" t="s">
        <v>67</v>
      </c>
      <c r="C59" s="355">
        <v>86194.73</v>
      </c>
      <c r="D59" s="300">
        <f t="shared" ref="D59" si="25">E59+F59+G59</f>
        <v>86194.73000000001</v>
      </c>
      <c r="E59" s="301">
        <f>C59*0.7356</f>
        <v>63404.843388000001</v>
      </c>
      <c r="F59" s="301">
        <f>C59*5%</f>
        <v>4309.7365</v>
      </c>
      <c r="G59" s="248">
        <f>C59-E59-F59</f>
        <v>18480.150111999996</v>
      </c>
      <c r="H59" s="300">
        <f>I59+J59+K59</f>
        <v>86194.73</v>
      </c>
      <c r="I59" s="356">
        <v>63404.84</v>
      </c>
      <c r="J59" s="356">
        <v>4309.7299999999996</v>
      </c>
      <c r="K59" s="357">
        <v>18480.16</v>
      </c>
      <c r="L59" s="271" t="s">
        <v>643</v>
      </c>
    </row>
    <row r="60" spans="1:13" s="91" customFormat="1" ht="21.75" customHeight="1" outlineLevel="1" x14ac:dyDescent="0.25">
      <c r="A60" s="725">
        <v>18</v>
      </c>
      <c r="B60" s="726" t="s">
        <v>870</v>
      </c>
      <c r="C60" s="721">
        <f>C61</f>
        <v>542384.26</v>
      </c>
      <c r="D60" s="393">
        <f>D61</f>
        <v>542384.26</v>
      </c>
      <c r="E60" s="401">
        <f t="shared" ref="E60:F60" si="26">E61</f>
        <v>445509.01</v>
      </c>
      <c r="F60" s="401">
        <f t="shared" si="26"/>
        <v>27119.21</v>
      </c>
      <c r="G60" s="727">
        <f>G61</f>
        <v>69756.039999999994</v>
      </c>
      <c r="H60" s="580">
        <f>H61</f>
        <v>0</v>
      </c>
      <c r="I60" s="581">
        <f>I61</f>
        <v>0</v>
      </c>
      <c r="J60" s="581">
        <f>J61</f>
        <v>0</v>
      </c>
      <c r="K60" s="727">
        <f>K61</f>
        <v>0</v>
      </c>
      <c r="L60" s="342"/>
    </row>
    <row r="61" spans="1:13" s="91" customFormat="1" outlineLevel="1" x14ac:dyDescent="0.25">
      <c r="A61" s="267"/>
      <c r="B61" s="261" t="s">
        <v>557</v>
      </c>
      <c r="C61" s="355">
        <v>542384.26</v>
      </c>
      <c r="D61" s="498">
        <f>E61+F61+G61</f>
        <v>542384.26</v>
      </c>
      <c r="E61" s="356">
        <v>445509.01</v>
      </c>
      <c r="F61" s="356">
        <v>27119.21</v>
      </c>
      <c r="G61" s="357">
        <v>69756.039999999994</v>
      </c>
      <c r="H61" s="498"/>
      <c r="I61" s="356"/>
      <c r="J61" s="356"/>
      <c r="K61" s="357"/>
      <c r="L61" s="342" t="s">
        <v>871</v>
      </c>
      <c r="M61" s="597">
        <v>42647</v>
      </c>
    </row>
    <row r="62" spans="1:13" s="9" customFormat="1" ht="31.5" customHeight="1" thickBot="1" x14ac:dyDescent="0.25">
      <c r="A62" s="126">
        <v>19</v>
      </c>
      <c r="B62" s="183" t="s">
        <v>556</v>
      </c>
      <c r="C62" s="176"/>
      <c r="D62" s="17"/>
      <c r="E62" s="18"/>
      <c r="F62" s="18"/>
      <c r="G62" s="19"/>
      <c r="H62" s="17"/>
      <c r="I62" s="18"/>
      <c r="J62" s="18"/>
      <c r="K62" s="19"/>
      <c r="L62" s="185"/>
    </row>
    <row r="63" spans="1:13" x14ac:dyDescent="0.25">
      <c r="C63" s="96"/>
      <c r="D63" s="96"/>
      <c r="E63" s="96"/>
      <c r="F63" s="96"/>
      <c r="G63" s="96"/>
      <c r="H63" s="96"/>
      <c r="I63" s="96"/>
      <c r="J63" s="96"/>
      <c r="K63" s="96"/>
    </row>
    <row r="64" spans="1:13" x14ac:dyDescent="0.25">
      <c r="C64" s="96"/>
      <c r="D64" s="96"/>
      <c r="E64" s="96"/>
      <c r="F64" s="96"/>
      <c r="G64" s="96"/>
      <c r="H64" s="96"/>
      <c r="I64" s="96"/>
      <c r="J64" s="96"/>
      <c r="K64" s="96"/>
    </row>
    <row r="65" spans="2:12" ht="15.75" thickBot="1" x14ac:dyDescent="0.3">
      <c r="C65" s="96"/>
      <c r="D65" s="96"/>
      <c r="E65" s="96"/>
      <c r="F65" s="96"/>
      <c r="G65" s="96"/>
      <c r="H65" s="96"/>
      <c r="I65" s="96"/>
      <c r="J65" s="96"/>
      <c r="K65" s="96"/>
    </row>
    <row r="66" spans="2:12" x14ac:dyDescent="0.25">
      <c r="B66" s="276" t="s">
        <v>64</v>
      </c>
      <c r="C66" s="279">
        <f t="shared" ref="C66:K66" si="27">C8+C20+C58</f>
        <v>21984201.229999997</v>
      </c>
      <c r="D66" s="279">
        <f t="shared" si="27"/>
        <v>21984201.229999997</v>
      </c>
      <c r="E66" s="279">
        <f t="shared" si="27"/>
        <v>16171578.424788</v>
      </c>
      <c r="F66" s="279">
        <f t="shared" si="27"/>
        <v>1099210.0614999998</v>
      </c>
      <c r="G66" s="279">
        <f t="shared" si="27"/>
        <v>4713412.7437119996</v>
      </c>
      <c r="H66" s="279">
        <f t="shared" si="27"/>
        <v>21984201.229999997</v>
      </c>
      <c r="I66" s="279">
        <f t="shared" si="27"/>
        <v>16171578.420000002</v>
      </c>
      <c r="J66" s="279">
        <f t="shared" si="27"/>
        <v>1099210.0699999998</v>
      </c>
      <c r="K66" s="277">
        <f t="shared" si="27"/>
        <v>4713412.74</v>
      </c>
      <c r="L66" s="2">
        <v>3</v>
      </c>
    </row>
    <row r="67" spans="2:12" x14ac:dyDescent="0.25">
      <c r="B67" s="278" t="s">
        <v>555</v>
      </c>
      <c r="C67" s="12">
        <f t="shared" ref="C67:K67" si="28">C11+C14+C21+C24+C27+C30+C34+C37+C46+C49</f>
        <v>44202587.969999999</v>
      </c>
      <c r="D67" s="12">
        <f t="shared" si="28"/>
        <v>44202587.969999999</v>
      </c>
      <c r="E67" s="12">
        <f t="shared" si="28"/>
        <v>29932884.749217305</v>
      </c>
      <c r="F67" s="12">
        <f t="shared" si="28"/>
        <v>2210129.3884999999</v>
      </c>
      <c r="G67" s="12">
        <f t="shared" si="28"/>
        <v>12059573.8322827</v>
      </c>
      <c r="H67" s="12">
        <f t="shared" si="28"/>
        <v>44202587.969999999</v>
      </c>
      <c r="I67" s="12">
        <f t="shared" si="28"/>
        <v>29856316.699999996</v>
      </c>
      <c r="J67" s="12">
        <f t="shared" si="28"/>
        <v>2210129.38</v>
      </c>
      <c r="K67" s="16">
        <f t="shared" si="28"/>
        <v>12136141.890000001</v>
      </c>
      <c r="L67" s="2">
        <v>7</v>
      </c>
    </row>
    <row r="68" spans="2:12" x14ac:dyDescent="0.25">
      <c r="B68" s="278" t="s">
        <v>557</v>
      </c>
      <c r="C68" s="12">
        <f>C17+C31+C40+C43+C52+C55+C61</f>
        <v>542384.26</v>
      </c>
      <c r="D68" s="12">
        <f t="shared" ref="D68:J68" si="29">D17+D31+D40+D43+D52+D55+D61</f>
        <v>542384.26</v>
      </c>
      <c r="E68" s="12">
        <f t="shared" si="29"/>
        <v>445509.01</v>
      </c>
      <c r="F68" s="12">
        <f t="shared" si="29"/>
        <v>27119.21</v>
      </c>
      <c r="G68" s="12">
        <f t="shared" si="29"/>
        <v>69756.039999999994</v>
      </c>
      <c r="H68" s="12">
        <f t="shared" si="29"/>
        <v>0</v>
      </c>
      <c r="I68" s="12">
        <f t="shared" si="29"/>
        <v>0</v>
      </c>
      <c r="J68" s="12">
        <f t="shared" si="29"/>
        <v>0</v>
      </c>
      <c r="K68" s="16">
        <f>K17+K31+K40+K43+K52+K55+K61</f>
        <v>0</v>
      </c>
    </row>
    <row r="69" spans="2:12" x14ac:dyDescent="0.25">
      <c r="B69" s="281" t="s">
        <v>67</v>
      </c>
      <c r="C69" s="12">
        <f t="shared" ref="C69:K69" si="30">C9+C12+C15+C18+C22+C25+C28+C32+C35+C38+C41+C44+C47+C50+C53+C56+C59+C62</f>
        <v>1866891.26</v>
      </c>
      <c r="D69" s="12">
        <f t="shared" si="30"/>
        <v>1866891.26</v>
      </c>
      <c r="E69" s="12">
        <f t="shared" si="30"/>
        <v>1373285.2108560002</v>
      </c>
      <c r="F69" s="12">
        <f t="shared" si="30"/>
        <v>93344.562999999995</v>
      </c>
      <c r="G69" s="12">
        <f t="shared" si="30"/>
        <v>400261.48614399991</v>
      </c>
      <c r="H69" s="12">
        <f t="shared" si="30"/>
        <v>1866891.26</v>
      </c>
      <c r="I69" s="12">
        <f t="shared" si="30"/>
        <v>1373285.2100000004</v>
      </c>
      <c r="J69" s="12">
        <f t="shared" si="30"/>
        <v>93344.569999999978</v>
      </c>
      <c r="K69" s="16">
        <f t="shared" si="30"/>
        <v>400261.47999999992</v>
      </c>
      <c r="L69" s="2">
        <v>17</v>
      </c>
    </row>
    <row r="70" spans="2:12" ht="15.75" thickBot="1" x14ac:dyDescent="0.3">
      <c r="B70" s="282" t="s">
        <v>625</v>
      </c>
      <c r="C70" s="18">
        <f t="shared" ref="C70:K70" si="31">SUM(C66:C69)</f>
        <v>68596064.719999999</v>
      </c>
      <c r="D70" s="18">
        <f t="shared" si="31"/>
        <v>68596064.719999999</v>
      </c>
      <c r="E70" s="18">
        <f t="shared" si="31"/>
        <v>47923257.394861303</v>
      </c>
      <c r="F70" s="18">
        <f t="shared" si="31"/>
        <v>3429803.2229999998</v>
      </c>
      <c r="G70" s="18">
        <f t="shared" si="31"/>
        <v>17243004.102138698</v>
      </c>
      <c r="H70" s="18">
        <f t="shared" si="31"/>
        <v>68053680.459999993</v>
      </c>
      <c r="I70" s="18">
        <f t="shared" si="31"/>
        <v>47401180.329999998</v>
      </c>
      <c r="J70" s="18">
        <f t="shared" si="31"/>
        <v>3402684.0199999996</v>
      </c>
      <c r="K70" s="19">
        <f t="shared" si="31"/>
        <v>17249816.110000003</v>
      </c>
    </row>
    <row r="71" spans="2:12" x14ac:dyDescent="0.25">
      <c r="B71" s="71"/>
      <c r="C71" s="96">
        <f t="shared" ref="C71:K71" si="32">C6</f>
        <v>68596064.719999999</v>
      </c>
      <c r="D71" s="96">
        <f t="shared" si="32"/>
        <v>68596064.719999984</v>
      </c>
      <c r="E71" s="96">
        <f t="shared" si="32"/>
        <v>47923257.394861288</v>
      </c>
      <c r="F71" s="96">
        <f t="shared" si="32"/>
        <v>3429803.2229999998</v>
      </c>
      <c r="G71" s="96">
        <f t="shared" si="32"/>
        <v>17243004.102138698</v>
      </c>
      <c r="H71" s="96">
        <f t="shared" si="32"/>
        <v>68053680.459999993</v>
      </c>
      <c r="I71" s="96">
        <f t="shared" si="32"/>
        <v>47401180.329999991</v>
      </c>
      <c r="J71" s="96">
        <f t="shared" si="32"/>
        <v>3402684.02</v>
      </c>
      <c r="K71" s="96">
        <f t="shared" si="32"/>
        <v>17249816.109999999</v>
      </c>
    </row>
    <row r="72" spans="2:12" x14ac:dyDescent="0.25">
      <c r="B72" s="96" t="s">
        <v>627</v>
      </c>
      <c r="C72" s="96">
        <f t="shared" ref="C72:K72" si="33">C70-C71</f>
        <v>0</v>
      </c>
      <c r="D72" s="96">
        <f t="shared" si="33"/>
        <v>0</v>
      </c>
      <c r="E72" s="96">
        <f t="shared" si="33"/>
        <v>0</v>
      </c>
      <c r="F72" s="96">
        <f t="shared" si="33"/>
        <v>0</v>
      </c>
      <c r="G72" s="96">
        <f t="shared" si="33"/>
        <v>0</v>
      </c>
      <c r="H72" s="96">
        <f t="shared" si="33"/>
        <v>0</v>
      </c>
      <c r="I72" s="96">
        <f t="shared" si="33"/>
        <v>0</v>
      </c>
      <c r="J72" s="96">
        <f t="shared" si="33"/>
        <v>0</v>
      </c>
      <c r="K72" s="96">
        <f t="shared" si="33"/>
        <v>0</v>
      </c>
    </row>
    <row r="73" spans="2:12" x14ac:dyDescent="0.25">
      <c r="C73" s="96"/>
      <c r="D73" s="96"/>
      <c r="E73" s="96"/>
      <c r="F73" s="96"/>
      <c r="G73" s="96"/>
      <c r="H73" s="96"/>
      <c r="I73" s="96"/>
      <c r="J73" s="96"/>
      <c r="K73" s="96"/>
    </row>
  </sheetData>
  <autoFilter ref="A6:M62"/>
  <mergeCells count="7"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45" orientation="landscape" r:id="rId1"/>
  <rowBreaks count="1" manualBreakCount="1">
    <brk id="44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5"/>
    <pageSetUpPr fitToPage="1"/>
  </sheetPr>
  <dimension ref="A1:L35"/>
  <sheetViews>
    <sheetView view="pageBreakPreview" zoomScale="70" zoomScaleNormal="75" zoomScaleSheetLayoutView="70" workbookViewId="0">
      <selection sqref="A1:L3"/>
    </sheetView>
  </sheetViews>
  <sheetFormatPr defaultColWidth="9.140625" defaultRowHeight="15" outlineLevelRow="1" x14ac:dyDescent="0.25"/>
  <cols>
    <col min="1" max="1" width="6.7109375" style="20" customWidth="1"/>
    <col min="2" max="2" width="43.42578125" style="56" customWidth="1"/>
    <col min="3" max="3" width="14.7109375" style="2" customWidth="1"/>
    <col min="4" max="4" width="13.7109375" style="2" customWidth="1"/>
    <col min="5" max="5" width="14.42578125" style="2" customWidth="1"/>
    <col min="6" max="6" width="15" style="2" customWidth="1"/>
    <col min="7" max="7" width="16.85546875" style="2" customWidth="1"/>
    <col min="8" max="8" width="13.7109375" style="2" customWidth="1"/>
    <col min="9" max="9" width="15.28515625" style="2" customWidth="1"/>
    <col min="10" max="10" width="14.42578125" style="2" customWidth="1"/>
    <col min="11" max="11" width="16.7109375" style="2" customWidth="1"/>
    <col min="12" max="12" width="24" style="2" customWidth="1"/>
    <col min="13" max="13" width="11.140625" style="2" customWidth="1"/>
    <col min="14" max="16384" width="9.140625" style="2"/>
  </cols>
  <sheetData>
    <row r="1" spans="1:12" x14ac:dyDescent="0.25">
      <c r="A1" s="777" t="s">
        <v>883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2" ht="17.25" customHeight="1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2" s="5" customFormat="1" ht="32.25" customHeight="1" x14ac:dyDescent="0.25">
      <c r="A4" s="746" t="s">
        <v>0</v>
      </c>
      <c r="B4" s="749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</row>
    <row r="5" spans="1:12" s="5" customFormat="1" ht="52.5" customHeight="1" x14ac:dyDescent="0.25">
      <c r="A5" s="802"/>
      <c r="B5" s="781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</row>
    <row r="6" spans="1:12" s="5" customFormat="1" ht="36.75" customHeight="1" x14ac:dyDescent="0.25">
      <c r="A6" s="775" t="s">
        <v>29</v>
      </c>
      <c r="B6" s="799"/>
      <c r="C6" s="93">
        <f>C7+C9+C11+C14+C17+C19+C21+C24</f>
        <v>3798393.92</v>
      </c>
      <c r="D6" s="13">
        <f>E6+F6+G6</f>
        <v>3798393.92</v>
      </c>
      <c r="E6" s="22">
        <f>E7+E9+E11+E14+E17+E19+E21+E24</f>
        <v>2794098.5675520003</v>
      </c>
      <c r="F6" s="22">
        <f>F7+F9+F11+F14+F17+F19+F21+F24</f>
        <v>189919.69600000003</v>
      </c>
      <c r="G6" s="33">
        <f>G7+G9+G11+G14+G17+G19+G21+G24</f>
        <v>814375.65644799976</v>
      </c>
      <c r="H6" s="13">
        <f>I6+J6+K6</f>
        <v>3798393.92</v>
      </c>
      <c r="I6" s="22">
        <f>I7+I9+I11+I14+I17+I19+I21</f>
        <v>2794098.5599999996</v>
      </c>
      <c r="J6" s="22">
        <f t="shared" ref="J6:K6" si="0">J7+J9+J11+J14+J17+J19+J21</f>
        <v>189919.69999999998</v>
      </c>
      <c r="K6" s="22">
        <f t="shared" si="0"/>
        <v>814375.66</v>
      </c>
      <c r="L6" s="139"/>
    </row>
    <row r="7" spans="1:12" s="54" customFormat="1" ht="27" customHeight="1" x14ac:dyDescent="0.25">
      <c r="A7" s="213">
        <v>1</v>
      </c>
      <c r="B7" s="60" t="s">
        <v>210</v>
      </c>
      <c r="C7" s="63">
        <f>SUM(C8:C8)</f>
        <v>0</v>
      </c>
      <c r="D7" s="40">
        <f>E7+F7+G7</f>
        <v>0</v>
      </c>
      <c r="E7" s="75">
        <f>SUM(E8:E8)</f>
        <v>0</v>
      </c>
      <c r="F7" s="75">
        <f>SUM(F8:F8)</f>
        <v>0</v>
      </c>
      <c r="G7" s="80">
        <f>SUM(G8:G8)</f>
        <v>0</v>
      </c>
      <c r="H7" s="40">
        <f>I7+J7+K7</f>
        <v>0</v>
      </c>
      <c r="I7" s="75">
        <f>SUM(I8:I8)</f>
        <v>0</v>
      </c>
      <c r="J7" s="75">
        <f>SUM(J8:J8)</f>
        <v>0</v>
      </c>
      <c r="K7" s="80">
        <f>SUM(K8:K8)</f>
        <v>0</v>
      </c>
      <c r="L7" s="79"/>
    </row>
    <row r="8" spans="1:12" outlineLevel="1" x14ac:dyDescent="0.25">
      <c r="A8" s="10"/>
      <c r="B8" s="43" t="s">
        <v>64</v>
      </c>
      <c r="C8" s="27"/>
      <c r="D8" s="53"/>
      <c r="E8" s="11"/>
      <c r="F8" s="11"/>
      <c r="G8" s="106"/>
      <c r="H8" s="53"/>
      <c r="I8" s="11"/>
      <c r="J8" s="11"/>
      <c r="K8" s="106"/>
      <c r="L8" s="28"/>
    </row>
    <row r="9" spans="1:12" s="9" customFormat="1" ht="40.5" customHeight="1" x14ac:dyDescent="0.2">
      <c r="A9" s="140">
        <v>2</v>
      </c>
      <c r="B9" s="60" t="s">
        <v>211</v>
      </c>
      <c r="C9" s="63">
        <f>SUM(C10:C10)</f>
        <v>0</v>
      </c>
      <c r="D9" s="40">
        <f>E9+F9+G9</f>
        <v>0</v>
      </c>
      <c r="E9" s="75">
        <f>SUM(E10:E10)</f>
        <v>0</v>
      </c>
      <c r="F9" s="75">
        <f>SUM(F10:F10)</f>
        <v>0</v>
      </c>
      <c r="G9" s="80">
        <f>SUM(G10:G10)</f>
        <v>0</v>
      </c>
      <c r="H9" s="40">
        <f>I9+J9+K9</f>
        <v>0</v>
      </c>
      <c r="I9" s="75">
        <f>SUM(I10:I10)</f>
        <v>0</v>
      </c>
      <c r="J9" s="75">
        <f>SUM(J10:J10)</f>
        <v>0</v>
      </c>
      <c r="K9" s="80">
        <f>SUM(K10:K10)</f>
        <v>0</v>
      </c>
      <c r="L9" s="35"/>
    </row>
    <row r="10" spans="1:12" outlineLevel="1" x14ac:dyDescent="0.25">
      <c r="A10" s="10"/>
      <c r="B10" s="43" t="s">
        <v>64</v>
      </c>
      <c r="C10" s="27"/>
      <c r="D10" s="53"/>
      <c r="E10" s="11"/>
      <c r="F10" s="11"/>
      <c r="G10" s="106"/>
      <c r="H10" s="53"/>
      <c r="I10" s="11"/>
      <c r="J10" s="11"/>
      <c r="K10" s="106"/>
      <c r="L10" s="28"/>
    </row>
    <row r="11" spans="1:12" s="395" customFormat="1" ht="34.5" customHeight="1" x14ac:dyDescent="0.2">
      <c r="A11" s="391">
        <v>3</v>
      </c>
      <c r="B11" s="506" t="s">
        <v>216</v>
      </c>
      <c r="C11" s="287">
        <f>SUM(C12:C13)</f>
        <v>3694758.56</v>
      </c>
      <c r="D11" s="393">
        <f>E11+F11+G11</f>
        <v>3694758.5599999996</v>
      </c>
      <c r="E11" s="401">
        <f>SUM(E12:E13)</f>
        <v>2717864.3967360002</v>
      </c>
      <c r="F11" s="401">
        <f>SUM(F12:F13)</f>
        <v>184737.92800000001</v>
      </c>
      <c r="G11" s="402">
        <f>SUM(G12:G13)</f>
        <v>792156.23526399978</v>
      </c>
      <c r="H11" s="393">
        <f>I11+J11+K11</f>
        <v>3694758.5599999996</v>
      </c>
      <c r="I11" s="401">
        <f>SUM(I12:I13)</f>
        <v>2717864.3899999997</v>
      </c>
      <c r="J11" s="401">
        <f>SUM(J12:J13)</f>
        <v>184737.93</v>
      </c>
      <c r="K11" s="402">
        <f>SUM(K12:K13)</f>
        <v>792156.24</v>
      </c>
      <c r="L11" s="400"/>
    </row>
    <row r="12" spans="1:12" s="91" customFormat="1" outlineLevel="1" x14ac:dyDescent="0.25">
      <c r="A12" s="260"/>
      <c r="B12" s="261" t="s">
        <v>555</v>
      </c>
      <c r="C12" s="270">
        <v>3591329.23</v>
      </c>
      <c r="D12" s="249">
        <f t="shared" ref="D12" si="1">E12+F12+G12</f>
        <v>3591329.2300000004</v>
      </c>
      <c r="E12" s="250">
        <f>C12*0.7356</f>
        <v>2641781.7815880002</v>
      </c>
      <c r="F12" s="250">
        <f>C12*5%</f>
        <v>179566.4615</v>
      </c>
      <c r="G12" s="251">
        <f>C12-E12-F12</f>
        <v>769980.98691199976</v>
      </c>
      <c r="H12" s="249">
        <f t="shared" ref="H12" si="2">I12+J12+K12</f>
        <v>3591329.2299999995</v>
      </c>
      <c r="I12" s="257">
        <v>2641781.7799999998</v>
      </c>
      <c r="J12" s="257">
        <v>179566.46</v>
      </c>
      <c r="K12" s="269">
        <v>769980.99</v>
      </c>
      <c r="L12" s="271" t="s">
        <v>696</v>
      </c>
    </row>
    <row r="13" spans="1:12" s="91" customFormat="1" outlineLevel="1" x14ac:dyDescent="0.25">
      <c r="A13" s="260"/>
      <c r="B13" s="261" t="s">
        <v>67</v>
      </c>
      <c r="C13" s="251">
        <v>103429.33</v>
      </c>
      <c r="D13" s="249">
        <f t="shared" ref="D13" si="3">E13+F13+G13</f>
        <v>103429.32999999999</v>
      </c>
      <c r="E13" s="250">
        <f>C13*0.7356</f>
        <v>76082.615148000012</v>
      </c>
      <c r="F13" s="250">
        <f>C13*5%</f>
        <v>5171.4665000000005</v>
      </c>
      <c r="G13" s="251">
        <f>C13-E13-F13</f>
        <v>22175.248351999988</v>
      </c>
      <c r="H13" s="316">
        <f>I13+J13+K13</f>
        <v>103429.33</v>
      </c>
      <c r="I13" s="257">
        <v>76082.61</v>
      </c>
      <c r="J13" s="257">
        <v>5171.47</v>
      </c>
      <c r="K13" s="269">
        <v>22175.25</v>
      </c>
      <c r="L13" s="271" t="s">
        <v>641</v>
      </c>
    </row>
    <row r="14" spans="1:12" s="9" customFormat="1" ht="35.25" customHeight="1" x14ac:dyDescent="0.2">
      <c r="A14" s="140">
        <v>4</v>
      </c>
      <c r="B14" s="60" t="s">
        <v>214</v>
      </c>
      <c r="C14" s="58">
        <f>SUM(C15:C16)</f>
        <v>103635.36</v>
      </c>
      <c r="D14" s="13">
        <f>E14+F14+G14</f>
        <v>103635.36</v>
      </c>
      <c r="E14" s="44">
        <f>SUM(E15:E16)</f>
        <v>76234.170815999998</v>
      </c>
      <c r="F14" s="44">
        <f>SUM(F15:F16)</f>
        <v>5181.768</v>
      </c>
      <c r="G14" s="297">
        <f>SUM(G15:G16)</f>
        <v>22219.421184000003</v>
      </c>
      <c r="H14" s="13">
        <f>I14+J14+K14</f>
        <v>103635.36</v>
      </c>
      <c r="I14" s="44">
        <f>SUM(I15:I16)</f>
        <v>76234.17</v>
      </c>
      <c r="J14" s="44">
        <f>SUM(J15:J16)</f>
        <v>5181.7700000000004</v>
      </c>
      <c r="K14" s="297">
        <f>SUM(K15:K16)</f>
        <v>22219.42</v>
      </c>
      <c r="L14" s="35"/>
    </row>
    <row r="15" spans="1:12" outlineLevel="1" x14ac:dyDescent="0.25">
      <c r="A15" s="10"/>
      <c r="B15" s="43" t="s">
        <v>557</v>
      </c>
      <c r="C15" s="27"/>
      <c r="D15" s="53"/>
      <c r="E15" s="11"/>
      <c r="F15" s="11"/>
      <c r="G15" s="106"/>
      <c r="H15" s="53"/>
      <c r="I15" s="11"/>
      <c r="J15" s="11"/>
      <c r="K15" s="106"/>
      <c r="L15" s="28"/>
    </row>
    <row r="16" spans="1:12" s="91" customFormat="1" outlineLevel="1" x14ac:dyDescent="0.25">
      <c r="A16" s="260"/>
      <c r="B16" s="261" t="s">
        <v>67</v>
      </c>
      <c r="C16" s="270">
        <v>103635.36</v>
      </c>
      <c r="D16" s="249">
        <f t="shared" ref="D16" si="4">E16+F16+G16</f>
        <v>103635.36</v>
      </c>
      <c r="E16" s="250">
        <f>C16*0.7356</f>
        <v>76234.170815999998</v>
      </c>
      <c r="F16" s="250">
        <f>C16*5%</f>
        <v>5181.768</v>
      </c>
      <c r="G16" s="251">
        <f>C16-E16-F16</f>
        <v>22219.421184000003</v>
      </c>
      <c r="H16" s="316">
        <f>I16+J16+K16</f>
        <v>103635.36</v>
      </c>
      <c r="I16" s="257">
        <v>76234.17</v>
      </c>
      <c r="J16" s="257">
        <v>5181.7700000000004</v>
      </c>
      <c r="K16" s="269">
        <v>22219.42</v>
      </c>
      <c r="L16" s="271" t="s">
        <v>641</v>
      </c>
    </row>
    <row r="17" spans="1:12" s="9" customFormat="1" ht="30.75" customHeight="1" x14ac:dyDescent="0.2">
      <c r="A17" s="140">
        <v>5</v>
      </c>
      <c r="B17" s="60" t="s">
        <v>212</v>
      </c>
      <c r="C17" s="63">
        <f>SUM(C18:C18)</f>
        <v>0</v>
      </c>
      <c r="D17" s="40">
        <f>E17+F17+G17</f>
        <v>0</v>
      </c>
      <c r="E17" s="75">
        <f>SUM(E18:E18)</f>
        <v>0</v>
      </c>
      <c r="F17" s="75">
        <f>SUM(F18:F18)</f>
        <v>0</v>
      </c>
      <c r="G17" s="80">
        <f>SUM(G18:G18)</f>
        <v>0</v>
      </c>
      <c r="H17" s="40">
        <f>I17+J17+K17</f>
        <v>0</v>
      </c>
      <c r="I17" s="75">
        <f>SUM(I18:I18)</f>
        <v>0</v>
      </c>
      <c r="J17" s="75">
        <f>SUM(J18:J18)</f>
        <v>0</v>
      </c>
      <c r="K17" s="80">
        <f>SUM(K18:K18)</f>
        <v>0</v>
      </c>
      <c r="L17" s="35"/>
    </row>
    <row r="18" spans="1:12" outlineLevel="1" x14ac:dyDescent="0.25">
      <c r="A18" s="10"/>
      <c r="B18" s="43" t="s">
        <v>64</v>
      </c>
      <c r="C18" s="27"/>
      <c r="D18" s="53"/>
      <c r="E18" s="11"/>
      <c r="F18" s="11"/>
      <c r="G18" s="106"/>
      <c r="H18" s="53"/>
      <c r="I18" s="11"/>
      <c r="J18" s="11"/>
      <c r="K18" s="106"/>
      <c r="L18" s="28"/>
    </row>
    <row r="19" spans="1:12" s="9" customFormat="1" ht="27" customHeight="1" x14ac:dyDescent="0.2">
      <c r="A19" s="140">
        <v>6</v>
      </c>
      <c r="B19" s="60" t="s">
        <v>213</v>
      </c>
      <c r="C19" s="63">
        <f>SUM(C20:C20)</f>
        <v>0</v>
      </c>
      <c r="D19" s="40">
        <f>E19+F19+G19</f>
        <v>0</v>
      </c>
      <c r="E19" s="75">
        <f>SUM(E20:E20)</f>
        <v>0</v>
      </c>
      <c r="F19" s="75">
        <f>SUM(F20:F20)</f>
        <v>0</v>
      </c>
      <c r="G19" s="80">
        <f>SUM(G20:G20)</f>
        <v>0</v>
      </c>
      <c r="H19" s="40">
        <f>I19+J19+K19</f>
        <v>0</v>
      </c>
      <c r="I19" s="75">
        <f>SUM(I20:I20)</f>
        <v>0</v>
      </c>
      <c r="J19" s="75">
        <f>SUM(J20:J20)</f>
        <v>0</v>
      </c>
      <c r="K19" s="80">
        <f>SUM(K20:K20)</f>
        <v>0</v>
      </c>
      <c r="L19" s="35"/>
    </row>
    <row r="20" spans="1:12" outlineLevel="1" x14ac:dyDescent="0.25">
      <c r="A20" s="10"/>
      <c r="B20" s="43" t="s">
        <v>65</v>
      </c>
      <c r="C20" s="27"/>
      <c r="D20" s="53"/>
      <c r="E20" s="11"/>
      <c r="F20" s="11"/>
      <c r="G20" s="106"/>
      <c r="H20" s="53"/>
      <c r="I20" s="11"/>
      <c r="J20" s="11"/>
      <c r="K20" s="106"/>
      <c r="L20" s="28"/>
    </row>
    <row r="21" spans="1:12" s="9" customFormat="1" ht="36.75" customHeight="1" x14ac:dyDescent="0.2">
      <c r="A21" s="140">
        <v>7</v>
      </c>
      <c r="B21" s="60" t="s">
        <v>215</v>
      </c>
      <c r="C21" s="63">
        <f>SUM(C22:C22)</f>
        <v>0</v>
      </c>
      <c r="D21" s="40">
        <f>E21+F21+G21</f>
        <v>0</v>
      </c>
      <c r="E21" s="75">
        <f>SUM(E22:E23)</f>
        <v>0</v>
      </c>
      <c r="F21" s="75">
        <f>SUM(F22:F23)</f>
        <v>0</v>
      </c>
      <c r="G21" s="80">
        <f>SUM(G22:G23)</f>
        <v>0</v>
      </c>
      <c r="H21" s="40">
        <f>I21+J21+K21</f>
        <v>0</v>
      </c>
      <c r="I21" s="75">
        <f>SUM(I22:I23)</f>
        <v>0</v>
      </c>
      <c r="J21" s="75">
        <f>SUM(J22:J23)</f>
        <v>0</v>
      </c>
      <c r="K21" s="80">
        <f>SUM(K22:K23)</f>
        <v>0</v>
      </c>
      <c r="L21" s="35"/>
    </row>
    <row r="22" spans="1:12" outlineLevel="1" x14ac:dyDescent="0.25">
      <c r="A22" s="52"/>
      <c r="B22" s="190" t="s">
        <v>557</v>
      </c>
      <c r="C22" s="346"/>
      <c r="D22" s="216"/>
      <c r="E22" s="347"/>
      <c r="F22" s="347"/>
      <c r="G22" s="348"/>
      <c r="H22" s="216"/>
      <c r="I22" s="347"/>
      <c r="J22" s="347"/>
      <c r="K22" s="348"/>
      <c r="L22" s="51"/>
    </row>
    <row r="23" spans="1:12" outlineLevel="1" x14ac:dyDescent="0.25">
      <c r="A23" s="52"/>
      <c r="B23" s="43" t="s">
        <v>67</v>
      </c>
      <c r="C23" s="346"/>
      <c r="D23" s="216"/>
      <c r="E23" s="347"/>
      <c r="F23" s="347"/>
      <c r="G23" s="348"/>
      <c r="H23" s="216"/>
      <c r="I23" s="347"/>
      <c r="J23" s="347"/>
      <c r="K23" s="348"/>
      <c r="L23" s="51"/>
    </row>
    <row r="24" spans="1:12" s="9" customFormat="1" ht="30" customHeight="1" thickBot="1" x14ac:dyDescent="0.25">
      <c r="A24" s="126">
        <v>8</v>
      </c>
      <c r="B24" s="183" t="s">
        <v>556</v>
      </c>
      <c r="C24" s="175"/>
      <c r="D24" s="191"/>
      <c r="E24" s="192"/>
      <c r="F24" s="192"/>
      <c r="G24" s="349"/>
      <c r="H24" s="191"/>
      <c r="I24" s="192"/>
      <c r="J24" s="192"/>
      <c r="K24" s="349"/>
      <c r="L24" s="185"/>
    </row>
    <row r="25" spans="1:12" x14ac:dyDescent="0.25">
      <c r="C25" s="215"/>
    </row>
    <row r="27" spans="1:12" ht="15.75" thickBot="1" x14ac:dyDescent="0.3"/>
    <row r="28" spans="1:12" x14ac:dyDescent="0.25">
      <c r="B28" s="276" t="s">
        <v>64</v>
      </c>
      <c r="C28" s="279">
        <f t="shared" ref="C28:K28" si="5">C8+C10+C18</f>
        <v>0</v>
      </c>
      <c r="D28" s="279">
        <f t="shared" si="5"/>
        <v>0</v>
      </c>
      <c r="E28" s="279">
        <f t="shared" si="5"/>
        <v>0</v>
      </c>
      <c r="F28" s="279">
        <f t="shared" si="5"/>
        <v>0</v>
      </c>
      <c r="G28" s="279">
        <f t="shared" si="5"/>
        <v>0</v>
      </c>
      <c r="H28" s="279">
        <f t="shared" si="5"/>
        <v>0</v>
      </c>
      <c r="I28" s="279">
        <f t="shared" si="5"/>
        <v>0</v>
      </c>
      <c r="J28" s="279">
        <f t="shared" si="5"/>
        <v>0</v>
      </c>
      <c r="K28" s="277">
        <f t="shared" si="5"/>
        <v>0</v>
      </c>
    </row>
    <row r="29" spans="1:12" x14ac:dyDescent="0.25">
      <c r="B29" s="278" t="s">
        <v>65</v>
      </c>
      <c r="C29" s="12">
        <f t="shared" ref="C29:K29" si="6">C20</f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6">
        <f t="shared" si="6"/>
        <v>0</v>
      </c>
    </row>
    <row r="30" spans="1:12" x14ac:dyDescent="0.25">
      <c r="B30" s="278" t="s">
        <v>555</v>
      </c>
      <c r="C30" s="12">
        <f t="shared" ref="C30:K30" si="7">C12</f>
        <v>3591329.23</v>
      </c>
      <c r="D30" s="12">
        <f t="shared" si="7"/>
        <v>3591329.2300000004</v>
      </c>
      <c r="E30" s="12">
        <f t="shared" si="7"/>
        <v>2641781.7815880002</v>
      </c>
      <c r="F30" s="12">
        <f t="shared" si="7"/>
        <v>179566.4615</v>
      </c>
      <c r="G30" s="12">
        <f t="shared" si="7"/>
        <v>769980.98691199976</v>
      </c>
      <c r="H30" s="12">
        <f t="shared" si="7"/>
        <v>3591329.2299999995</v>
      </c>
      <c r="I30" s="12">
        <f t="shared" si="7"/>
        <v>2641781.7799999998</v>
      </c>
      <c r="J30" s="12">
        <f t="shared" si="7"/>
        <v>179566.46</v>
      </c>
      <c r="K30" s="16">
        <f t="shared" si="7"/>
        <v>769980.99</v>
      </c>
      <c r="L30" s="2">
        <v>1</v>
      </c>
    </row>
    <row r="31" spans="1:12" x14ac:dyDescent="0.25">
      <c r="B31" s="278" t="s">
        <v>557</v>
      </c>
      <c r="C31" s="12">
        <f t="shared" ref="C31:K31" si="8">C15+C22</f>
        <v>0</v>
      </c>
      <c r="D31" s="12">
        <f t="shared" si="8"/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  <c r="K31" s="16">
        <f t="shared" si="8"/>
        <v>0</v>
      </c>
    </row>
    <row r="32" spans="1:12" x14ac:dyDescent="0.25">
      <c r="B32" s="281" t="s">
        <v>67</v>
      </c>
      <c r="C32" s="12">
        <f t="shared" ref="C32:K32" si="9">C13+C16+C23+C24</f>
        <v>207064.69</v>
      </c>
      <c r="D32" s="12">
        <f t="shared" si="9"/>
        <v>207064.69</v>
      </c>
      <c r="E32" s="12">
        <f t="shared" si="9"/>
        <v>152316.78596400001</v>
      </c>
      <c r="F32" s="12">
        <f t="shared" si="9"/>
        <v>10353.2345</v>
      </c>
      <c r="G32" s="12">
        <f t="shared" si="9"/>
        <v>44394.669535999987</v>
      </c>
      <c r="H32" s="12">
        <f t="shared" si="9"/>
        <v>207064.69</v>
      </c>
      <c r="I32" s="12">
        <f t="shared" si="9"/>
        <v>152316.78</v>
      </c>
      <c r="J32" s="12">
        <f t="shared" si="9"/>
        <v>10353.240000000002</v>
      </c>
      <c r="K32" s="16">
        <f t="shared" si="9"/>
        <v>44394.67</v>
      </c>
      <c r="L32" s="2">
        <v>2</v>
      </c>
    </row>
    <row r="33" spans="2:11" ht="15.75" thickBot="1" x14ac:dyDescent="0.3">
      <c r="B33" s="282" t="s">
        <v>625</v>
      </c>
      <c r="C33" s="18">
        <f t="shared" ref="C33:K33" si="10">SUM(C28:C32)</f>
        <v>3798393.92</v>
      </c>
      <c r="D33" s="18">
        <f t="shared" si="10"/>
        <v>3798393.9200000004</v>
      </c>
      <c r="E33" s="18">
        <f t="shared" si="10"/>
        <v>2794098.5675520003</v>
      </c>
      <c r="F33" s="18">
        <f t="shared" si="10"/>
        <v>189919.696</v>
      </c>
      <c r="G33" s="18">
        <f t="shared" si="10"/>
        <v>814375.65644799976</v>
      </c>
      <c r="H33" s="18">
        <f t="shared" si="10"/>
        <v>3798393.9199999995</v>
      </c>
      <c r="I33" s="18">
        <f t="shared" si="10"/>
        <v>2794098.5599999996</v>
      </c>
      <c r="J33" s="18">
        <f t="shared" si="10"/>
        <v>189919.69999999998</v>
      </c>
      <c r="K33" s="19">
        <f t="shared" si="10"/>
        <v>814375.66</v>
      </c>
    </row>
    <row r="34" spans="2:11" x14ac:dyDescent="0.25">
      <c r="B34" s="71"/>
      <c r="C34" s="96">
        <f t="shared" ref="C34:K34" si="11">C6</f>
        <v>3798393.92</v>
      </c>
      <c r="D34" s="96">
        <f t="shared" si="11"/>
        <v>3798393.92</v>
      </c>
      <c r="E34" s="96">
        <f t="shared" si="11"/>
        <v>2794098.5675520003</v>
      </c>
      <c r="F34" s="96">
        <f t="shared" si="11"/>
        <v>189919.69600000003</v>
      </c>
      <c r="G34" s="96">
        <f t="shared" si="11"/>
        <v>814375.65644799976</v>
      </c>
      <c r="H34" s="96">
        <f t="shared" si="11"/>
        <v>3798393.92</v>
      </c>
      <c r="I34" s="96">
        <f t="shared" si="11"/>
        <v>2794098.5599999996</v>
      </c>
      <c r="J34" s="96">
        <f t="shared" si="11"/>
        <v>189919.69999999998</v>
      </c>
      <c r="K34" s="96">
        <f t="shared" si="11"/>
        <v>814375.66</v>
      </c>
    </row>
    <row r="35" spans="2:11" x14ac:dyDescent="0.25">
      <c r="B35" s="96" t="s">
        <v>627</v>
      </c>
      <c r="C35" s="96">
        <f t="shared" ref="C35:K35" si="12">C33-C34</f>
        <v>0</v>
      </c>
      <c r="D35" s="96">
        <f t="shared" si="12"/>
        <v>0</v>
      </c>
      <c r="E35" s="96">
        <f t="shared" si="12"/>
        <v>0</v>
      </c>
      <c r="F35" s="96">
        <f t="shared" si="12"/>
        <v>0</v>
      </c>
      <c r="G35" s="96">
        <f t="shared" si="12"/>
        <v>0</v>
      </c>
      <c r="H35" s="96">
        <f t="shared" si="12"/>
        <v>0</v>
      </c>
      <c r="I35" s="96">
        <f t="shared" si="12"/>
        <v>0</v>
      </c>
      <c r="J35" s="96">
        <f t="shared" si="12"/>
        <v>0</v>
      </c>
      <c r="K35" s="96">
        <f t="shared" si="12"/>
        <v>0</v>
      </c>
    </row>
  </sheetData>
  <autoFilter ref="A7:M24"/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5"/>
    <pageSetUpPr fitToPage="1"/>
  </sheetPr>
  <dimension ref="A1:N224"/>
  <sheetViews>
    <sheetView view="pageBreakPreview" zoomScale="70" zoomScaleNormal="70" zoomScaleSheetLayoutView="70" workbookViewId="0">
      <pane ySplit="6" topLeftCell="A49" activePane="bottomLeft" state="frozen"/>
      <selection pane="bottomLeft" sqref="A1:L3"/>
    </sheetView>
  </sheetViews>
  <sheetFormatPr defaultColWidth="9.140625" defaultRowHeight="15" outlineLevelRow="1" x14ac:dyDescent="0.25"/>
  <cols>
    <col min="1" max="1" width="4.5703125" style="25" customWidth="1"/>
    <col min="2" max="2" width="43.85546875" style="56" customWidth="1"/>
    <col min="3" max="3" width="16.140625" style="71" customWidth="1"/>
    <col min="4" max="4" width="14.7109375" style="62" bestFit="1" customWidth="1"/>
    <col min="5" max="5" width="14.140625" style="71" customWidth="1"/>
    <col min="6" max="6" width="14" style="71" customWidth="1"/>
    <col min="7" max="7" width="15.5703125" style="71" customWidth="1"/>
    <col min="8" max="8" width="14.85546875" style="71" customWidth="1"/>
    <col min="9" max="9" width="14.7109375" style="71" customWidth="1"/>
    <col min="10" max="10" width="12" style="71" customWidth="1"/>
    <col min="11" max="11" width="15.42578125" style="71" customWidth="1"/>
    <col min="12" max="12" width="26.42578125" style="56" customWidth="1"/>
    <col min="13" max="13" width="11.140625" style="2" customWidth="1"/>
    <col min="14" max="16384" width="9.140625" style="2"/>
  </cols>
  <sheetData>
    <row r="1" spans="1:13" x14ac:dyDescent="0.25">
      <c r="A1" s="777" t="s">
        <v>884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3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3" ht="15.7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3" s="5" customFormat="1" ht="32.25" customHeight="1" x14ac:dyDescent="0.25">
      <c r="A4" s="744" t="s">
        <v>0</v>
      </c>
      <c r="B4" s="761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  <c r="M4" s="803" t="s">
        <v>762</v>
      </c>
    </row>
    <row r="5" spans="1:13" s="5" customFormat="1" ht="52.5" customHeight="1" x14ac:dyDescent="0.25">
      <c r="A5" s="745"/>
      <c r="B5" s="762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  <c r="M5" s="803"/>
    </row>
    <row r="6" spans="1:13" s="5" customFormat="1" ht="30" customHeight="1" x14ac:dyDescent="0.25">
      <c r="A6" s="797" t="s">
        <v>18</v>
      </c>
      <c r="B6" s="798"/>
      <c r="C6" s="93">
        <f>C7+C16+C25+C33+C35+C37+C41+C49+C57+C65+C68+C71+C74+C77+C81+C84+C88+C91+C93+C96+C100+C104+C107+C117+C127+C137+C145+C153+C161+C170+C179+C187+C196+C201+C210</f>
        <v>194954382.01000005</v>
      </c>
      <c r="D6" s="13">
        <f>E6+F6+G6</f>
        <v>194954382.01000005</v>
      </c>
      <c r="E6" s="24">
        <f>E7+E16+E25+E33+E35+E37+E41+E49+E57+E65+E68+E71+E74+E77+E81+E84+E88+E91+E93+E96+E100+E104+E107+E117+E127+E137+E145+E153+E161+E170+E179+E187+E196+E201+E210</f>
        <v>154267261.28752559</v>
      </c>
      <c r="F6" s="24">
        <f>F7+F16+F25+F33+F35+F37+F41+F49+F57+F65+F68+F71+F74+F77+F81+F84+F88+F91+F93+F96+F100+F104+F107+F117+F127+F137+F145+F153+F161+F170+F179+F187+F196+F201+F210</f>
        <v>9752483.469974149</v>
      </c>
      <c r="G6" s="34">
        <f>G7+G16+G25+G33+G35+G37+G41+G49+G57+G65+G68+G71+G74+G77+G81+G84+G88+G91+G93+G96+G100+G104+G107+G117+G127+G137+G145+G153+G161+G170+G179+G187+G196+G201+G210</f>
        <v>30934637.252500284</v>
      </c>
      <c r="H6" s="13">
        <f>I6+J6+K6</f>
        <v>147383286.78000003</v>
      </c>
      <c r="I6" s="24">
        <f>I7+I16+I25+I33+I35+I37+I41+I49+I57+I65+I68+I71+I74+I77+I81+I84+I88+I91+I93+I96+I100+I104+I107+I117+I127+I137+I145+I153+I161+I170+I179+I187+I196+I201+I210</f>
        <v>120840193.36000003</v>
      </c>
      <c r="J6" s="24">
        <f>J7+J16+J25+J33+J35+J37+J41+J49+J57+J65+J68+J71+J74+J77+J81+J84+J88+J91+J93+J96+J100+J104+J107+J117+J127+J137+J145+J153+J161+J170+J179+J187+J196+J201+J210</f>
        <v>7369194.3999999985</v>
      </c>
      <c r="K6" s="34">
        <f>K7+K16+K25+K33+K35+K37+K41+K49+K57+K65+K68+K71+K74+K77+K81+K84+K88+K91+K93+K96+K100+K104+K107+K117+K127+K137+K145+K153+K161+K170+K179+K187+K196+K201+K210</f>
        <v>19173899.019999996</v>
      </c>
      <c r="L6" s="139"/>
    </row>
    <row r="7" spans="1:13" s="9" customFormat="1" ht="28.5" customHeight="1" x14ac:dyDescent="0.2">
      <c r="A7" s="140">
        <v>1</v>
      </c>
      <c r="B7" s="60" t="s">
        <v>217</v>
      </c>
      <c r="C7" s="63">
        <f>SUM(C8:C15)</f>
        <v>5763384.5999999996</v>
      </c>
      <c r="D7" s="13">
        <f>E7+F7+G7</f>
        <v>5763384.5999999987</v>
      </c>
      <c r="E7" s="75">
        <f>SUM(E8:E15)</f>
        <v>4480051.7605523579</v>
      </c>
      <c r="F7" s="75">
        <f>SUM(F8:F15)</f>
        <v>288169.22242364095</v>
      </c>
      <c r="G7" s="80">
        <f>SUM(G8:G15)</f>
        <v>995163.61702399992</v>
      </c>
      <c r="H7" s="40">
        <f>SUM(I7:K7)</f>
        <v>2255982.33</v>
      </c>
      <c r="I7" s="75">
        <f>SUM(I8:I15)</f>
        <v>1833673.5000000002</v>
      </c>
      <c r="J7" s="75">
        <f>SUM(J8:J15)</f>
        <v>112849.58000000002</v>
      </c>
      <c r="K7" s="80">
        <f>SUM(K8:K15)</f>
        <v>309459.25</v>
      </c>
      <c r="L7" s="79"/>
    </row>
    <row r="8" spans="1:13" s="91" customFormat="1" outlineLevel="1" x14ac:dyDescent="0.25">
      <c r="A8" s="260"/>
      <c r="B8" s="261" t="s">
        <v>68</v>
      </c>
      <c r="C8" s="252">
        <v>570727.93999999994</v>
      </c>
      <c r="D8" s="249">
        <f t="shared" ref="D8" si="0">E8+F8+G8</f>
        <v>570727.93999999994</v>
      </c>
      <c r="E8" s="250">
        <f>415287.86+5880.09</f>
        <v>421167.95</v>
      </c>
      <c r="F8" s="250">
        <f>28227.84+291.2</f>
        <v>28519.040000000001</v>
      </c>
      <c r="G8" s="251">
        <v>121040.95</v>
      </c>
      <c r="H8" s="249">
        <f t="shared" ref="H8:H69" si="1">SUM(I8:K8)</f>
        <v>564556.65</v>
      </c>
      <c r="I8" s="250">
        <v>415287.86</v>
      </c>
      <c r="J8" s="250">
        <v>28227.84</v>
      </c>
      <c r="K8" s="251">
        <v>121040.95</v>
      </c>
      <c r="L8" s="262" t="s">
        <v>687</v>
      </c>
      <c r="M8" s="597">
        <v>42607</v>
      </c>
    </row>
    <row r="9" spans="1:13" s="91" customFormat="1" outlineLevel="1" x14ac:dyDescent="0.25">
      <c r="A9" s="260"/>
      <c r="B9" s="261" t="s">
        <v>64</v>
      </c>
      <c r="C9" s="252">
        <v>3501230.98</v>
      </c>
      <c r="D9" s="249">
        <f t="shared" ref="D9:D10" si="2">E9+F9+G9</f>
        <v>3501230.9799999995</v>
      </c>
      <c r="E9" s="250">
        <v>2647500.0099999998</v>
      </c>
      <c r="F9" s="250">
        <v>175028.44</v>
      </c>
      <c r="G9" s="251">
        <v>678702.53</v>
      </c>
      <c r="H9" s="249">
        <f t="shared" si="1"/>
        <v>0</v>
      </c>
      <c r="I9" s="250"/>
      <c r="J9" s="250"/>
      <c r="K9" s="251"/>
      <c r="L9" s="262" t="s">
        <v>644</v>
      </c>
      <c r="M9" s="597">
        <v>42588</v>
      </c>
    </row>
    <row r="10" spans="1:13" s="91" customFormat="1" outlineLevel="1" x14ac:dyDescent="0.25">
      <c r="A10" s="260"/>
      <c r="B10" s="261" t="s">
        <v>65</v>
      </c>
      <c r="C10" s="252">
        <f>441376.22+8412.82</f>
        <v>449789.04</v>
      </c>
      <c r="D10" s="249">
        <f t="shared" si="2"/>
        <v>449789.04</v>
      </c>
      <c r="E10" s="250">
        <f>C10*0.7356</f>
        <v>330864.81782400003</v>
      </c>
      <c r="F10" s="250">
        <f>C10*5%</f>
        <v>22489.452000000001</v>
      </c>
      <c r="G10" s="251">
        <f>C10-E10-F10</f>
        <v>96434.770175999947</v>
      </c>
      <c r="H10" s="249">
        <f t="shared" si="1"/>
        <v>449789.04000000004</v>
      </c>
      <c r="I10" s="250">
        <v>334894.34000000003</v>
      </c>
      <c r="J10" s="250">
        <v>22489.45</v>
      </c>
      <c r="K10" s="251">
        <v>92405.25</v>
      </c>
      <c r="L10" s="262" t="s">
        <v>644</v>
      </c>
    </row>
    <row r="11" spans="1:13" s="91" customFormat="1" outlineLevel="1" x14ac:dyDescent="0.25">
      <c r="A11" s="260"/>
      <c r="B11" s="261" t="s">
        <v>66</v>
      </c>
      <c r="C11" s="252">
        <f>325812.11+5967.86</f>
        <v>331779.96999999997</v>
      </c>
      <c r="D11" s="249">
        <f t="shared" ref="D11:D12" si="3">E11+F11+G11</f>
        <v>331779.96999999997</v>
      </c>
      <c r="E11" s="250">
        <f>C11*0.7356</f>
        <v>244057.345932</v>
      </c>
      <c r="F11" s="250">
        <f>C11*5%</f>
        <v>16588.998499999998</v>
      </c>
      <c r="G11" s="251">
        <f>C11-E11-F11</f>
        <v>71133.625567999974</v>
      </c>
      <c r="H11" s="249">
        <f t="shared" si="1"/>
        <v>331779.97000000003</v>
      </c>
      <c r="I11" s="250">
        <v>247029.66</v>
      </c>
      <c r="J11" s="250">
        <v>16589</v>
      </c>
      <c r="K11" s="251">
        <v>68161.31</v>
      </c>
      <c r="L11" s="262" t="s">
        <v>644</v>
      </c>
    </row>
    <row r="12" spans="1:13" s="91" customFormat="1" outlineLevel="1" x14ac:dyDescent="0.25">
      <c r="A12" s="260"/>
      <c r="B12" s="261" t="s">
        <v>571</v>
      </c>
      <c r="C12" s="252">
        <v>764132.6</v>
      </c>
      <c r="D12" s="249">
        <f t="shared" si="3"/>
        <v>764132.6</v>
      </c>
      <c r="E12" s="250">
        <v>725925.97</v>
      </c>
      <c r="F12" s="250">
        <v>38206.629999999997</v>
      </c>
      <c r="G12" s="251">
        <f>C12-E12-F12</f>
        <v>0</v>
      </c>
      <c r="H12" s="249">
        <f>SUM(I12:K12)</f>
        <v>764132.6</v>
      </c>
      <c r="I12" s="250">
        <v>725925.97</v>
      </c>
      <c r="J12" s="250">
        <v>38206.629999999997</v>
      </c>
      <c r="K12" s="251">
        <v>0</v>
      </c>
      <c r="L12" s="262" t="s">
        <v>761</v>
      </c>
      <c r="M12" s="597">
        <v>42566</v>
      </c>
    </row>
    <row r="13" spans="1:13" outlineLevel="1" x14ac:dyDescent="0.25">
      <c r="A13" s="10"/>
      <c r="B13" s="43" t="s">
        <v>555</v>
      </c>
      <c r="C13" s="47"/>
      <c r="D13" s="53"/>
      <c r="E13" s="72"/>
      <c r="F13" s="72"/>
      <c r="G13" s="92"/>
      <c r="H13" s="42">
        <f t="shared" si="1"/>
        <v>0</v>
      </c>
      <c r="I13" s="72"/>
      <c r="J13" s="72"/>
      <c r="K13" s="92"/>
      <c r="L13" s="57"/>
    </row>
    <row r="14" spans="1:13" s="91" customFormat="1" ht="17.25" customHeight="1" outlineLevel="1" x14ac:dyDescent="0.25">
      <c r="A14" s="260"/>
      <c r="B14" s="261" t="s">
        <v>554</v>
      </c>
      <c r="C14" s="252">
        <v>48476.37</v>
      </c>
      <c r="D14" s="316">
        <f>SUM(E14:G14)</f>
        <v>48476.37</v>
      </c>
      <c r="E14" s="250">
        <v>46002.093076359008</v>
      </c>
      <c r="F14" s="250">
        <v>2474.2769236409972</v>
      </c>
      <c r="G14" s="251">
        <v>0</v>
      </c>
      <c r="H14" s="249">
        <f t="shared" si="1"/>
        <v>48476.369999999995</v>
      </c>
      <c r="I14" s="250">
        <v>46002.09</v>
      </c>
      <c r="J14" s="250">
        <v>2474.2800000000002</v>
      </c>
      <c r="K14" s="251">
        <v>0</v>
      </c>
      <c r="L14" s="262" t="s">
        <v>811</v>
      </c>
      <c r="M14" s="597">
        <v>42604</v>
      </c>
    </row>
    <row r="15" spans="1:13" s="91" customFormat="1" outlineLevel="1" x14ac:dyDescent="0.25">
      <c r="A15" s="260"/>
      <c r="B15" s="261" t="s">
        <v>67</v>
      </c>
      <c r="C15" s="252">
        <v>97247.7</v>
      </c>
      <c r="D15" s="249">
        <f>SUM(E15:G15)</f>
        <v>97247.7</v>
      </c>
      <c r="E15" s="250">
        <f>C15*0.6636</f>
        <v>64533.573719999993</v>
      </c>
      <c r="F15" s="250">
        <f>C15*5%</f>
        <v>4862.3850000000002</v>
      </c>
      <c r="G15" s="251">
        <f>C15-E15-F15</f>
        <v>27851.741280000002</v>
      </c>
      <c r="H15" s="249">
        <f t="shared" si="1"/>
        <v>97247.700000000012</v>
      </c>
      <c r="I15" s="250">
        <v>64533.58</v>
      </c>
      <c r="J15" s="250">
        <v>4862.38</v>
      </c>
      <c r="K15" s="251">
        <v>27851.74</v>
      </c>
      <c r="L15" s="262" t="s">
        <v>620</v>
      </c>
    </row>
    <row r="16" spans="1:13" s="9" customFormat="1" ht="15" customHeight="1" x14ac:dyDescent="0.2">
      <c r="A16" s="140">
        <v>2</v>
      </c>
      <c r="B16" s="60" t="s">
        <v>218</v>
      </c>
      <c r="C16" s="63">
        <f>SUM(C17:C24)</f>
        <v>5381199.79</v>
      </c>
      <c r="D16" s="40">
        <f>SUM(E16:G16)</f>
        <v>5381199.79</v>
      </c>
      <c r="E16" s="75">
        <f>SUM(E17:E24)</f>
        <v>4182968.0250636744</v>
      </c>
      <c r="F16" s="75">
        <f>SUM(F17:F24)</f>
        <v>269059.99719682528</v>
      </c>
      <c r="G16" s="80">
        <f>SUM(G17:G24)</f>
        <v>929171.76773950015</v>
      </c>
      <c r="H16" s="40">
        <f>SUM(I16:K16)</f>
        <v>1627606.85</v>
      </c>
      <c r="I16" s="75">
        <f>SUM(I17:I24)</f>
        <v>1362324.84</v>
      </c>
      <c r="J16" s="75">
        <f>SUM(J17:J24)</f>
        <v>81443.819999999992</v>
      </c>
      <c r="K16" s="80">
        <f>SUM(K17:K24)</f>
        <v>183838.19</v>
      </c>
      <c r="L16" s="79"/>
    </row>
    <row r="17" spans="1:13" s="91" customFormat="1" outlineLevel="1" x14ac:dyDescent="0.25">
      <c r="A17" s="260"/>
      <c r="B17" s="261" t="s">
        <v>68</v>
      </c>
      <c r="C17" s="252">
        <v>497025.1</v>
      </c>
      <c r="D17" s="249">
        <f t="shared" ref="D17:D19" si="4">E17+F17+G17</f>
        <v>497025.10000000003</v>
      </c>
      <c r="E17" s="250">
        <v>469009.47791520512</v>
      </c>
      <c r="F17" s="250">
        <v>28015.62208479493</v>
      </c>
      <c r="G17" s="251">
        <v>0</v>
      </c>
      <c r="H17" s="249">
        <f t="shared" si="1"/>
        <v>0</v>
      </c>
      <c r="I17" s="250"/>
      <c r="J17" s="250"/>
      <c r="K17" s="251"/>
      <c r="L17" s="262" t="s">
        <v>687</v>
      </c>
      <c r="M17" s="597">
        <v>42537</v>
      </c>
    </row>
    <row r="18" spans="1:13" s="91" customFormat="1" outlineLevel="1" x14ac:dyDescent="0.25">
      <c r="A18" s="260"/>
      <c r="B18" s="261" t="s">
        <v>64</v>
      </c>
      <c r="C18" s="252">
        <v>3256567.84</v>
      </c>
      <c r="D18" s="249">
        <f t="shared" si="4"/>
        <v>3256567.84</v>
      </c>
      <c r="E18" s="250">
        <v>2358635.5500000003</v>
      </c>
      <c r="F18" s="250">
        <v>159600.54999999999</v>
      </c>
      <c r="G18" s="251">
        <v>738331.74</v>
      </c>
      <c r="H18" s="249">
        <f t="shared" si="1"/>
        <v>0</v>
      </c>
      <c r="I18" s="250"/>
      <c r="J18" s="250"/>
      <c r="K18" s="251"/>
      <c r="L18" s="262" t="s">
        <v>644</v>
      </c>
      <c r="M18" s="597">
        <v>42578</v>
      </c>
    </row>
    <row r="19" spans="1:13" s="91" customFormat="1" outlineLevel="1" x14ac:dyDescent="0.25">
      <c r="A19" s="260"/>
      <c r="B19" s="261" t="s">
        <v>65</v>
      </c>
      <c r="C19" s="252">
        <f>424011.04+7946.21</f>
        <v>431957.25</v>
      </c>
      <c r="D19" s="249">
        <f t="shared" si="4"/>
        <v>431957.25</v>
      </c>
      <c r="E19" s="250">
        <f>C19*0.7356</f>
        <v>317747.75310000003</v>
      </c>
      <c r="F19" s="250">
        <f>C19*5%</f>
        <v>21597.862500000003</v>
      </c>
      <c r="G19" s="251">
        <f>C19-E19-F19</f>
        <v>92611.634399999966</v>
      </c>
      <c r="H19" s="249">
        <f t="shared" si="1"/>
        <v>431957.25</v>
      </c>
      <c r="I19" s="250">
        <v>321830.02</v>
      </c>
      <c r="J19" s="250">
        <v>21597.86</v>
      </c>
      <c r="K19" s="251">
        <v>88529.37</v>
      </c>
      <c r="L19" s="262" t="s">
        <v>644</v>
      </c>
    </row>
    <row r="20" spans="1:13" s="91" customFormat="1" outlineLevel="1" x14ac:dyDescent="0.25">
      <c r="A20" s="260"/>
      <c r="B20" s="261" t="s">
        <v>66</v>
      </c>
      <c r="C20" s="252">
        <f>303187.92+5741.41</f>
        <v>308929.32999999996</v>
      </c>
      <c r="D20" s="249">
        <f t="shared" ref="D20:D21" si="5">E20+F20+G20</f>
        <v>308929.32999999996</v>
      </c>
      <c r="E20" s="250">
        <f>C20*0.7356</f>
        <v>227248.41514799997</v>
      </c>
      <c r="F20" s="250">
        <f>C20*5%</f>
        <v>15446.466499999999</v>
      </c>
      <c r="G20" s="251">
        <f>C20-E20-F20</f>
        <v>66234.448351999992</v>
      </c>
      <c r="H20" s="249">
        <f t="shared" si="1"/>
        <v>308929.33</v>
      </c>
      <c r="I20" s="250">
        <v>230167.98</v>
      </c>
      <c r="J20" s="250">
        <v>15446.47</v>
      </c>
      <c r="K20" s="251">
        <v>63314.879999999997</v>
      </c>
      <c r="L20" s="262" t="s">
        <v>644</v>
      </c>
    </row>
    <row r="21" spans="1:13" s="91" customFormat="1" outlineLevel="1" x14ac:dyDescent="0.25">
      <c r="A21" s="260"/>
      <c r="B21" s="261" t="s">
        <v>571</v>
      </c>
      <c r="C21" s="252">
        <v>741522.62000000011</v>
      </c>
      <c r="D21" s="249">
        <f t="shared" si="5"/>
        <v>741522.62000000011</v>
      </c>
      <c r="E21" s="250">
        <v>704446.49</v>
      </c>
      <c r="F21" s="250">
        <v>37076.129999999997</v>
      </c>
      <c r="G21" s="251">
        <f>C21-E21-F21</f>
        <v>1.2369127944111824E-10</v>
      </c>
      <c r="H21" s="249">
        <f t="shared" si="1"/>
        <v>741522.62</v>
      </c>
      <c r="I21" s="250">
        <v>704446.49</v>
      </c>
      <c r="J21" s="250">
        <v>37076.129999999997</v>
      </c>
      <c r="K21" s="251">
        <v>0</v>
      </c>
      <c r="L21" s="262" t="s">
        <v>761</v>
      </c>
      <c r="M21" s="597">
        <v>42559</v>
      </c>
    </row>
    <row r="22" spans="1:13" outlineLevel="1" x14ac:dyDescent="0.25">
      <c r="A22" s="10"/>
      <c r="B22" s="43" t="s">
        <v>555</v>
      </c>
      <c r="C22" s="47"/>
      <c r="D22" s="53"/>
      <c r="E22" s="72"/>
      <c r="F22" s="72"/>
      <c r="G22" s="92"/>
      <c r="H22" s="42">
        <f t="shared" si="1"/>
        <v>0</v>
      </c>
      <c r="I22" s="72"/>
      <c r="J22" s="72"/>
      <c r="K22" s="92"/>
      <c r="L22" s="57"/>
    </row>
    <row r="23" spans="1:13" s="91" customFormat="1" outlineLevel="1" x14ac:dyDescent="0.25">
      <c r="A23" s="260"/>
      <c r="B23" s="261" t="s">
        <v>554</v>
      </c>
      <c r="C23" s="252">
        <v>47949.95</v>
      </c>
      <c r="D23" s="316">
        <f>SUM(E23:G23)</f>
        <v>47949.95</v>
      </c>
      <c r="E23" s="250">
        <v>41346.765180469454</v>
      </c>
      <c r="F23" s="250">
        <v>2460.9811120303902</v>
      </c>
      <c r="G23" s="251">
        <v>4142.2037075001481</v>
      </c>
      <c r="H23" s="249">
        <f t="shared" si="1"/>
        <v>47949.95</v>
      </c>
      <c r="I23" s="250">
        <v>41346.769999999997</v>
      </c>
      <c r="J23" s="250">
        <v>2460.98</v>
      </c>
      <c r="K23" s="251">
        <v>4142.2</v>
      </c>
      <c r="L23" s="262" t="s">
        <v>811</v>
      </c>
      <c r="M23" s="597">
        <v>42604</v>
      </c>
    </row>
    <row r="24" spans="1:13" s="91" customFormat="1" outlineLevel="1" x14ac:dyDescent="0.25">
      <c r="A24" s="260"/>
      <c r="B24" s="261" t="s">
        <v>67</v>
      </c>
      <c r="C24" s="252">
        <v>97247.7</v>
      </c>
      <c r="D24" s="249">
        <f>SUM(E24:G24)</f>
        <v>97247.7</v>
      </c>
      <c r="E24" s="250">
        <f>C24*0.6636</f>
        <v>64533.573719999993</v>
      </c>
      <c r="F24" s="250">
        <f>C24*5%</f>
        <v>4862.3850000000002</v>
      </c>
      <c r="G24" s="251">
        <f>C24-E24-F24</f>
        <v>27851.741280000002</v>
      </c>
      <c r="H24" s="249">
        <f t="shared" si="1"/>
        <v>97247.700000000012</v>
      </c>
      <c r="I24" s="250">
        <v>64533.58</v>
      </c>
      <c r="J24" s="250">
        <v>4862.38</v>
      </c>
      <c r="K24" s="251">
        <v>27851.74</v>
      </c>
      <c r="L24" s="262" t="s">
        <v>620</v>
      </c>
    </row>
    <row r="25" spans="1:13" s="395" customFormat="1" ht="22.5" customHeight="1" x14ac:dyDescent="0.2">
      <c r="A25" s="391">
        <v>3</v>
      </c>
      <c r="B25" s="392" t="s">
        <v>219</v>
      </c>
      <c r="C25" s="290">
        <f>SUM(C26:C32)</f>
        <v>5723678.8599999985</v>
      </c>
      <c r="D25" s="288">
        <f>SUM(E25:G25)</f>
        <v>5723678.8599999994</v>
      </c>
      <c r="E25" s="289">
        <f>SUM(E26:E32)</f>
        <v>4449187.285436485</v>
      </c>
      <c r="F25" s="289">
        <f>SUM(F26:F32)</f>
        <v>286183.94749151473</v>
      </c>
      <c r="G25" s="247">
        <f>SUM(G26:G32)</f>
        <v>988307.62707200006</v>
      </c>
      <c r="H25" s="288">
        <f t="shared" si="1"/>
        <v>1660974.24</v>
      </c>
      <c r="I25" s="289">
        <f>SUM(I26:I32)</f>
        <v>1388907.24</v>
      </c>
      <c r="J25" s="289">
        <f>SUM(J26:J32)</f>
        <v>83313.69</v>
      </c>
      <c r="K25" s="247">
        <f>SUM(K26:K32)</f>
        <v>188753.31</v>
      </c>
      <c r="L25" s="394"/>
    </row>
    <row r="26" spans="1:13" s="91" customFormat="1" outlineLevel="1" x14ac:dyDescent="0.25">
      <c r="A26" s="260"/>
      <c r="B26" s="261" t="s">
        <v>68</v>
      </c>
      <c r="C26" s="252">
        <v>616477.66999999993</v>
      </c>
      <c r="D26" s="249">
        <f t="shared" ref="D26:D28" si="6">E26+F26+G26</f>
        <v>616477.66999999993</v>
      </c>
      <c r="E26" s="250">
        <v>581730.08488279523</v>
      </c>
      <c r="F26" s="250">
        <v>34747.585117204639</v>
      </c>
      <c r="G26" s="251">
        <v>0</v>
      </c>
      <c r="H26" s="249">
        <f t="shared" si="1"/>
        <v>0</v>
      </c>
      <c r="I26" s="250"/>
      <c r="J26" s="250"/>
      <c r="K26" s="251"/>
      <c r="L26" s="262" t="s">
        <v>687</v>
      </c>
      <c r="M26" s="597">
        <v>42537</v>
      </c>
    </row>
    <row r="27" spans="1:13" s="91" customFormat="1" outlineLevel="1" x14ac:dyDescent="0.25">
      <c r="A27" s="260"/>
      <c r="B27" s="261" t="s">
        <v>64</v>
      </c>
      <c r="C27" s="252">
        <v>3446226.9499999997</v>
      </c>
      <c r="D27" s="249">
        <f t="shared" si="6"/>
        <v>3446226.95</v>
      </c>
      <c r="E27" s="250">
        <v>2485664.31</v>
      </c>
      <c r="F27" s="250">
        <v>168122.66999999998</v>
      </c>
      <c r="G27" s="251">
        <v>792439.97</v>
      </c>
      <c r="H27" s="249">
        <f t="shared" si="1"/>
        <v>0</v>
      </c>
      <c r="I27" s="250"/>
      <c r="J27" s="250"/>
      <c r="K27" s="251"/>
      <c r="L27" s="262" t="s">
        <v>644</v>
      </c>
      <c r="M27" s="597">
        <v>42581</v>
      </c>
    </row>
    <row r="28" spans="1:13" s="91" customFormat="1" outlineLevel="1" x14ac:dyDescent="0.25">
      <c r="A28" s="260"/>
      <c r="B28" s="261" t="s">
        <v>65</v>
      </c>
      <c r="C28" s="252">
        <v>449789.04</v>
      </c>
      <c r="D28" s="249">
        <f t="shared" si="6"/>
        <v>449789.04</v>
      </c>
      <c r="E28" s="250">
        <f>C28*0.7356</f>
        <v>330864.81782400003</v>
      </c>
      <c r="F28" s="250">
        <f>C28*5%</f>
        <v>22489.452000000001</v>
      </c>
      <c r="G28" s="251">
        <f>C28-E28-F28</f>
        <v>96434.770175999947</v>
      </c>
      <c r="H28" s="249">
        <f t="shared" si="1"/>
        <v>449789.04000000004</v>
      </c>
      <c r="I28" s="250">
        <v>334959.09000000003</v>
      </c>
      <c r="J28" s="250">
        <v>22489.45</v>
      </c>
      <c r="K28" s="251">
        <v>92340.5</v>
      </c>
      <c r="L28" s="262" t="s">
        <v>644</v>
      </c>
    </row>
    <row r="29" spans="1:13" s="91" customFormat="1" outlineLevel="1" x14ac:dyDescent="0.25">
      <c r="A29" s="260"/>
      <c r="B29" s="261" t="s">
        <v>66</v>
      </c>
      <c r="C29" s="252">
        <f>325812.11+5967.86</f>
        <v>331779.96999999997</v>
      </c>
      <c r="D29" s="249">
        <f t="shared" ref="D29:D30" si="7">E29+F29+G29</f>
        <v>331779.96999999997</v>
      </c>
      <c r="E29" s="250">
        <f>C29*0.7356</f>
        <v>244057.345932</v>
      </c>
      <c r="F29" s="250">
        <f>C29*5%</f>
        <v>16588.998499999998</v>
      </c>
      <c r="G29" s="251">
        <f>C29-E29-F29</f>
        <v>71133.625567999974</v>
      </c>
      <c r="H29" s="249">
        <f t="shared" si="1"/>
        <v>331779.97000000003</v>
      </c>
      <c r="I29" s="250">
        <v>247077.42</v>
      </c>
      <c r="J29" s="250">
        <v>16589</v>
      </c>
      <c r="K29" s="251">
        <v>68113.55</v>
      </c>
      <c r="L29" s="262" t="s">
        <v>644</v>
      </c>
    </row>
    <row r="30" spans="1:13" s="91" customFormat="1" outlineLevel="1" x14ac:dyDescent="0.25">
      <c r="A30" s="260"/>
      <c r="B30" s="261" t="s">
        <v>571</v>
      </c>
      <c r="C30" s="252">
        <v>732023.62000000011</v>
      </c>
      <c r="D30" s="249">
        <f t="shared" si="7"/>
        <v>732023.62000000011</v>
      </c>
      <c r="E30" s="250">
        <v>695422.44</v>
      </c>
      <c r="F30" s="250">
        <v>36601.18</v>
      </c>
      <c r="G30" s="251">
        <f>C30-E30-F30</f>
        <v>1.673470251262188E-10</v>
      </c>
      <c r="H30" s="249">
        <f t="shared" si="1"/>
        <v>732023.62</v>
      </c>
      <c r="I30" s="250">
        <v>695422.44</v>
      </c>
      <c r="J30" s="250">
        <v>36601.18</v>
      </c>
      <c r="K30" s="251">
        <v>0</v>
      </c>
      <c r="L30" s="262" t="s">
        <v>761</v>
      </c>
      <c r="M30" s="597">
        <v>42559</v>
      </c>
    </row>
    <row r="31" spans="1:13" s="91" customFormat="1" outlineLevel="1" x14ac:dyDescent="0.25">
      <c r="A31" s="260"/>
      <c r="B31" s="261" t="s">
        <v>554</v>
      </c>
      <c r="C31" s="252">
        <v>48571.34</v>
      </c>
      <c r="D31" s="316">
        <f>SUM(E31:G31)</f>
        <v>48571.34</v>
      </c>
      <c r="E31" s="250">
        <v>45877.791625689875</v>
      </c>
      <c r="F31" s="250">
        <v>2693.5483743101195</v>
      </c>
      <c r="G31" s="251">
        <v>0</v>
      </c>
      <c r="H31" s="249">
        <f t="shared" si="1"/>
        <v>48571.340000000004</v>
      </c>
      <c r="I31" s="250">
        <v>45877.79</v>
      </c>
      <c r="J31" s="250">
        <v>2693.55</v>
      </c>
      <c r="K31" s="251">
        <v>0</v>
      </c>
      <c r="L31" s="262" t="s">
        <v>811</v>
      </c>
      <c r="M31" s="597">
        <v>42604</v>
      </c>
    </row>
    <row r="32" spans="1:13" s="91" customFormat="1" outlineLevel="1" x14ac:dyDescent="0.25">
      <c r="A32" s="260"/>
      <c r="B32" s="261" t="s">
        <v>67</v>
      </c>
      <c r="C32" s="252">
        <v>98810.27</v>
      </c>
      <c r="D32" s="249">
        <f>SUM(E32:G32)</f>
        <v>98810.27</v>
      </c>
      <c r="E32" s="250">
        <f>C32*0.6636</f>
        <v>65570.495171999995</v>
      </c>
      <c r="F32" s="250">
        <f>C32*5%</f>
        <v>4940.5135000000009</v>
      </c>
      <c r="G32" s="251">
        <f>C32-E32-F32</f>
        <v>28299.261328000008</v>
      </c>
      <c r="H32" s="249">
        <f t="shared" si="1"/>
        <v>98810.26999999999</v>
      </c>
      <c r="I32" s="250">
        <v>65570.5</v>
      </c>
      <c r="J32" s="250">
        <v>4940.51</v>
      </c>
      <c r="K32" s="251">
        <v>28299.26</v>
      </c>
      <c r="L32" s="262" t="s">
        <v>620</v>
      </c>
    </row>
    <row r="33" spans="1:14" s="395" customFormat="1" ht="15" customHeight="1" x14ac:dyDescent="0.2">
      <c r="A33" s="391">
        <v>4</v>
      </c>
      <c r="B33" s="392" t="s">
        <v>220</v>
      </c>
      <c r="C33" s="290">
        <f>SUM(C34:C34)</f>
        <v>3643326.32</v>
      </c>
      <c r="D33" s="393">
        <f>E33+F33+G33</f>
        <v>3643326.32</v>
      </c>
      <c r="E33" s="289">
        <f>SUM(E34:E34)</f>
        <v>2680030.840992</v>
      </c>
      <c r="F33" s="289">
        <f>SUM(F34:F34)</f>
        <v>182166.31599999999</v>
      </c>
      <c r="G33" s="247">
        <f>SUM(G34:G34)</f>
        <v>781129.16300799989</v>
      </c>
      <c r="H33" s="288">
        <f t="shared" si="1"/>
        <v>3643326.32</v>
      </c>
      <c r="I33" s="289">
        <f>SUM(I34:I34)</f>
        <v>2680030.84</v>
      </c>
      <c r="J33" s="289">
        <f>SUM(J34:J34)</f>
        <v>182166.32</v>
      </c>
      <c r="K33" s="247">
        <f>SUM(K34:K34)</f>
        <v>781129.16</v>
      </c>
      <c r="L33" s="394"/>
    </row>
    <row r="34" spans="1:14" s="91" customFormat="1" outlineLevel="1" x14ac:dyDescent="0.25">
      <c r="A34" s="260"/>
      <c r="B34" s="261" t="s">
        <v>555</v>
      </c>
      <c r="C34" s="252">
        <f>3257296.62+64711.34+321318.36</f>
        <v>3643326.32</v>
      </c>
      <c r="D34" s="249">
        <f t="shared" ref="D34" si="8">E34+F34+G34</f>
        <v>3643326.32</v>
      </c>
      <c r="E34" s="250">
        <f>C34*0.7356</f>
        <v>2680030.840992</v>
      </c>
      <c r="F34" s="250">
        <f>C34*5%</f>
        <v>182166.31599999999</v>
      </c>
      <c r="G34" s="251">
        <f>C34-E34-F34</f>
        <v>781129.16300799989</v>
      </c>
      <c r="H34" s="249">
        <f t="shared" si="1"/>
        <v>3643326.32</v>
      </c>
      <c r="I34" s="250">
        <v>2680030.84</v>
      </c>
      <c r="J34" s="250">
        <v>182166.32</v>
      </c>
      <c r="K34" s="251">
        <v>781129.16</v>
      </c>
      <c r="L34" s="262" t="s">
        <v>663</v>
      </c>
    </row>
    <row r="35" spans="1:14" s="395" customFormat="1" ht="17.25" customHeight="1" x14ac:dyDescent="0.2">
      <c r="A35" s="391">
        <v>5</v>
      </c>
      <c r="B35" s="392" t="s">
        <v>221</v>
      </c>
      <c r="C35" s="290">
        <f>SUM(C36:C36)</f>
        <v>4292975.6399999997</v>
      </c>
      <c r="D35" s="393">
        <f>E35+F35+G35</f>
        <v>4292975.6399999997</v>
      </c>
      <c r="E35" s="289">
        <f>SUM(E36:E36)</f>
        <v>3157912.8807839998</v>
      </c>
      <c r="F35" s="289">
        <f>SUM(F36:F36)</f>
        <v>214648.78200000001</v>
      </c>
      <c r="G35" s="247">
        <f>SUM(G36:G36)</f>
        <v>920413.97721599985</v>
      </c>
      <c r="H35" s="288">
        <f t="shared" si="1"/>
        <v>4292975.6399999997</v>
      </c>
      <c r="I35" s="289">
        <f>SUM(I36:I36)</f>
        <v>3157912.88</v>
      </c>
      <c r="J35" s="289">
        <f>SUM(J36:J36)</f>
        <v>214648.78</v>
      </c>
      <c r="K35" s="247">
        <f>SUM(K36:K36)</f>
        <v>920413.98</v>
      </c>
      <c r="L35" s="394"/>
    </row>
    <row r="36" spans="1:14" s="91" customFormat="1" outlineLevel="1" x14ac:dyDescent="0.25">
      <c r="A36" s="260"/>
      <c r="B36" s="261" t="s">
        <v>555</v>
      </c>
      <c r="C36" s="252">
        <f>3844555.63+75094.06+373325.95</f>
        <v>4292975.6399999997</v>
      </c>
      <c r="D36" s="249">
        <f t="shared" ref="D36" si="9">E36+F36+G36</f>
        <v>4292975.6399999997</v>
      </c>
      <c r="E36" s="250">
        <f>C36*0.7356</f>
        <v>3157912.8807839998</v>
      </c>
      <c r="F36" s="250">
        <f>C36*5%</f>
        <v>214648.78200000001</v>
      </c>
      <c r="G36" s="251">
        <f>C36-E36-F36</f>
        <v>920413.97721599985</v>
      </c>
      <c r="H36" s="249">
        <f t="shared" si="1"/>
        <v>4292975.6399999997</v>
      </c>
      <c r="I36" s="250">
        <v>3157912.88</v>
      </c>
      <c r="J36" s="250">
        <v>214648.78</v>
      </c>
      <c r="K36" s="251">
        <v>920413.98</v>
      </c>
      <c r="L36" s="262" t="s">
        <v>663</v>
      </c>
    </row>
    <row r="37" spans="1:14" s="9" customFormat="1" ht="15" customHeight="1" x14ac:dyDescent="0.2">
      <c r="A37" s="140">
        <v>6</v>
      </c>
      <c r="B37" s="60" t="s">
        <v>247</v>
      </c>
      <c r="C37" s="63">
        <f>SUM(C38:C40)</f>
        <v>55328.52</v>
      </c>
      <c r="D37" s="13">
        <f>E37+F37+G37</f>
        <v>55328.52</v>
      </c>
      <c r="E37" s="75">
        <f>SUM(E38:E40)</f>
        <v>40699.659311999996</v>
      </c>
      <c r="F37" s="75">
        <f>SUM(F38:F40)</f>
        <v>2766.4259999999999</v>
      </c>
      <c r="G37" s="80">
        <f>SUM(G38:G40)</f>
        <v>11862.434688000001</v>
      </c>
      <c r="H37" s="40">
        <f t="shared" si="1"/>
        <v>55328.520000000004</v>
      </c>
      <c r="I37" s="75">
        <f>SUM(I38:I40)</f>
        <v>40699.660000000003</v>
      </c>
      <c r="J37" s="75">
        <f>SUM(J38:J40)</f>
        <v>2766.43</v>
      </c>
      <c r="K37" s="80">
        <f>SUM(K38:K40)</f>
        <v>11862.43</v>
      </c>
      <c r="L37" s="79"/>
    </row>
    <row r="38" spans="1:14" outlineLevel="1" x14ac:dyDescent="0.25">
      <c r="A38" s="10"/>
      <c r="B38" s="43" t="s">
        <v>555</v>
      </c>
      <c r="C38" s="47"/>
      <c r="D38" s="53"/>
      <c r="E38" s="72"/>
      <c r="F38" s="72"/>
      <c r="G38" s="92"/>
      <c r="H38" s="42">
        <f t="shared" si="1"/>
        <v>0</v>
      </c>
      <c r="I38" s="72"/>
      <c r="J38" s="72"/>
      <c r="K38" s="92"/>
      <c r="L38" s="57"/>
    </row>
    <row r="39" spans="1:14" outlineLevel="1" x14ac:dyDescent="0.25">
      <c r="A39" s="10"/>
      <c r="B39" s="43" t="s">
        <v>554</v>
      </c>
      <c r="C39" s="47"/>
      <c r="D39" s="53"/>
      <c r="E39" s="72"/>
      <c r="F39" s="72"/>
      <c r="G39" s="92"/>
      <c r="H39" s="42">
        <f t="shared" si="1"/>
        <v>0</v>
      </c>
      <c r="I39" s="72"/>
      <c r="J39" s="72"/>
      <c r="K39" s="92"/>
      <c r="L39" s="57"/>
      <c r="M39" s="642">
        <v>42604</v>
      </c>
    </row>
    <row r="40" spans="1:14" s="91" customFormat="1" outlineLevel="1" x14ac:dyDescent="0.25">
      <c r="A40" s="260"/>
      <c r="B40" s="261" t="s">
        <v>67</v>
      </c>
      <c r="C40" s="252">
        <v>55328.52</v>
      </c>
      <c r="D40" s="316">
        <f>E40+F40+G40</f>
        <v>55328.52</v>
      </c>
      <c r="E40" s="250">
        <f>C40*0.7356</f>
        <v>40699.659311999996</v>
      </c>
      <c r="F40" s="250">
        <f>C40*0.05</f>
        <v>2766.4259999999999</v>
      </c>
      <c r="G40" s="251">
        <f>C40-E40-F40</f>
        <v>11862.434688000001</v>
      </c>
      <c r="H40" s="249">
        <f t="shared" si="1"/>
        <v>55328.520000000004</v>
      </c>
      <c r="I40" s="250">
        <v>40699.660000000003</v>
      </c>
      <c r="J40" s="250">
        <v>2766.43</v>
      </c>
      <c r="K40" s="251">
        <v>11862.43</v>
      </c>
      <c r="L40" s="262" t="s">
        <v>620</v>
      </c>
    </row>
    <row r="41" spans="1:14" s="403" customFormat="1" ht="15.75" customHeight="1" x14ac:dyDescent="0.2">
      <c r="A41" s="391">
        <v>7</v>
      </c>
      <c r="B41" s="392" t="s">
        <v>222</v>
      </c>
      <c r="C41" s="290">
        <f>SUM(C42:C48)</f>
        <v>5780838.0099999998</v>
      </c>
      <c r="D41" s="393">
        <f>E41+F41+G41</f>
        <v>5780838.0099999998</v>
      </c>
      <c r="E41" s="289">
        <f>SUM(E42:E48)</f>
        <v>4493618.8121636193</v>
      </c>
      <c r="F41" s="289">
        <f>SUM(F42:F48)</f>
        <v>289041.89231638005</v>
      </c>
      <c r="G41" s="247">
        <f>SUM(G42:G48)</f>
        <v>998177.30552000017</v>
      </c>
      <c r="H41" s="288">
        <f>SUM(I41:K41)</f>
        <v>2246611.84</v>
      </c>
      <c r="I41" s="289">
        <f>SUM(I42:I48)</f>
        <v>1824571.1199999999</v>
      </c>
      <c r="J41" s="289">
        <f>SUM(J42:J48)</f>
        <v>112376.25</v>
      </c>
      <c r="K41" s="247">
        <f>SUM(K42:K48)</f>
        <v>309664.47000000003</v>
      </c>
      <c r="L41" s="394"/>
      <c r="M41" s="395"/>
      <c r="N41" s="395"/>
    </row>
    <row r="42" spans="1:14" s="91" customFormat="1" outlineLevel="1" x14ac:dyDescent="0.25">
      <c r="A42" s="260"/>
      <c r="B42" s="261" t="s">
        <v>68</v>
      </c>
      <c r="C42" s="252">
        <v>570703.94999999995</v>
      </c>
      <c r="D42" s="249">
        <f t="shared" ref="D42" si="10">E42+F42+G42</f>
        <v>570703.94999999995</v>
      </c>
      <c r="E42" s="250">
        <f>415270.22+5880.88</f>
        <v>421151.1</v>
      </c>
      <c r="F42" s="250">
        <f>28226.64+290.41</f>
        <v>28517.05</v>
      </c>
      <c r="G42" s="251">
        <v>121035.8</v>
      </c>
      <c r="H42" s="249">
        <f>SUM(I42:K42)</f>
        <v>564532.66</v>
      </c>
      <c r="I42" s="250">
        <v>415270.22</v>
      </c>
      <c r="J42" s="250">
        <v>28226.639999999999</v>
      </c>
      <c r="K42" s="251">
        <v>121035.8</v>
      </c>
      <c r="L42" s="262" t="s">
        <v>687</v>
      </c>
      <c r="M42" s="597">
        <v>42607</v>
      </c>
    </row>
    <row r="43" spans="1:14" s="91" customFormat="1" outlineLevel="1" x14ac:dyDescent="0.25">
      <c r="A43" s="260"/>
      <c r="B43" s="261" t="s">
        <v>64</v>
      </c>
      <c r="C43" s="252">
        <v>3528054.88</v>
      </c>
      <c r="D43" s="249">
        <f t="shared" ref="D43:D46" si="11">E43+F43+G43</f>
        <v>3528054.8800000004</v>
      </c>
      <c r="E43" s="250">
        <v>2670239.29</v>
      </c>
      <c r="F43" s="250">
        <v>176375.22</v>
      </c>
      <c r="G43" s="251">
        <v>681440.37000000011</v>
      </c>
      <c r="H43" s="249">
        <f t="shared" si="1"/>
        <v>0</v>
      </c>
      <c r="I43" s="250"/>
      <c r="J43" s="250"/>
      <c r="K43" s="251"/>
      <c r="L43" s="262" t="s">
        <v>644</v>
      </c>
      <c r="M43" s="597">
        <v>42586</v>
      </c>
    </row>
    <row r="44" spans="1:14" s="91" customFormat="1" outlineLevel="1" x14ac:dyDescent="0.25">
      <c r="A44" s="260"/>
      <c r="B44" s="261" t="s">
        <v>65</v>
      </c>
      <c r="C44" s="252">
        <v>449789.04</v>
      </c>
      <c r="D44" s="249">
        <f t="shared" si="11"/>
        <v>449789.04</v>
      </c>
      <c r="E44" s="250">
        <f>C44*0.7356</f>
        <v>330864.81782400003</v>
      </c>
      <c r="F44" s="250">
        <f>C44*5%</f>
        <v>22489.452000000001</v>
      </c>
      <c r="G44" s="251">
        <f>C44-E44-F44</f>
        <v>96434.770175999947</v>
      </c>
      <c r="H44" s="249">
        <f t="shared" si="1"/>
        <v>449789.04000000004</v>
      </c>
      <c r="I44" s="250">
        <v>334934.99</v>
      </c>
      <c r="J44" s="250">
        <v>22489.45</v>
      </c>
      <c r="K44" s="251">
        <v>92364.6</v>
      </c>
      <c r="L44" s="262" t="s">
        <v>644</v>
      </c>
    </row>
    <row r="45" spans="1:14" s="91" customFormat="1" outlineLevel="1" x14ac:dyDescent="0.25">
      <c r="A45" s="260"/>
      <c r="B45" s="261" t="s">
        <v>66</v>
      </c>
      <c r="C45" s="252">
        <f>325812.11+5967.86</f>
        <v>331779.96999999997</v>
      </c>
      <c r="D45" s="249">
        <f t="shared" si="11"/>
        <v>331779.96999999997</v>
      </c>
      <c r="E45" s="250">
        <f>C45*0.7356</f>
        <v>244057.345932</v>
      </c>
      <c r="F45" s="250">
        <f>C45*5%</f>
        <v>16588.998499999998</v>
      </c>
      <c r="G45" s="251">
        <f>C45-E45-F45</f>
        <v>71133.625567999974</v>
      </c>
      <c r="H45" s="249">
        <f t="shared" si="1"/>
        <v>331779.97000000003</v>
      </c>
      <c r="I45" s="250">
        <v>247059.65</v>
      </c>
      <c r="J45" s="250">
        <v>16589</v>
      </c>
      <c r="K45" s="251">
        <v>68131.320000000007</v>
      </c>
      <c r="L45" s="262" t="s">
        <v>644</v>
      </c>
    </row>
    <row r="46" spans="1:14" s="91" customFormat="1" outlineLevel="1" x14ac:dyDescent="0.25">
      <c r="A46" s="260"/>
      <c r="B46" s="261" t="s">
        <v>571</v>
      </c>
      <c r="C46" s="252">
        <v>753425.28</v>
      </c>
      <c r="D46" s="249">
        <f t="shared" si="11"/>
        <v>753425.28</v>
      </c>
      <c r="E46" s="250">
        <v>715754.02</v>
      </c>
      <c r="F46" s="250">
        <v>37671.26</v>
      </c>
      <c r="G46" s="251">
        <f>C46-E46-F46</f>
        <v>0</v>
      </c>
      <c r="H46" s="249">
        <f>SUM(I46:K46)</f>
        <v>753425.28</v>
      </c>
      <c r="I46" s="250">
        <v>715754.02</v>
      </c>
      <c r="J46" s="250">
        <v>37671.26</v>
      </c>
      <c r="K46" s="251">
        <v>0</v>
      </c>
      <c r="L46" s="262" t="s">
        <v>761</v>
      </c>
      <c r="M46" s="597">
        <v>42578</v>
      </c>
    </row>
    <row r="47" spans="1:14" s="91" customFormat="1" outlineLevel="1" x14ac:dyDescent="0.25">
      <c r="A47" s="260"/>
      <c r="B47" s="261" t="s">
        <v>554</v>
      </c>
      <c r="C47" s="252">
        <v>48856.05</v>
      </c>
      <c r="D47" s="316">
        <f>SUM(E47:G47)</f>
        <v>48856.05</v>
      </c>
      <c r="E47" s="250">
        <v>46367.580183619852</v>
      </c>
      <c r="F47" s="250">
        <v>2488.4698163801486</v>
      </c>
      <c r="G47" s="251">
        <v>0</v>
      </c>
      <c r="H47" s="249">
        <f t="shared" si="1"/>
        <v>48856.05</v>
      </c>
      <c r="I47" s="250">
        <v>46367.58</v>
      </c>
      <c r="J47" s="250">
        <v>2488.4699999999998</v>
      </c>
      <c r="K47" s="251">
        <v>0</v>
      </c>
      <c r="L47" s="262" t="s">
        <v>811</v>
      </c>
      <c r="M47" s="597">
        <v>42604</v>
      </c>
    </row>
    <row r="48" spans="1:14" s="91" customFormat="1" outlineLevel="1" x14ac:dyDescent="0.25">
      <c r="A48" s="260"/>
      <c r="B48" s="261" t="s">
        <v>67</v>
      </c>
      <c r="C48" s="252">
        <v>98228.84</v>
      </c>
      <c r="D48" s="249">
        <f>SUM(E48:G48)</f>
        <v>98228.84</v>
      </c>
      <c r="E48" s="250">
        <f>C48*0.6636</f>
        <v>65184.658223999992</v>
      </c>
      <c r="F48" s="250">
        <f>C48*5%</f>
        <v>4911.442</v>
      </c>
      <c r="G48" s="251">
        <f>C48-E48-F48</f>
        <v>28132.739776000006</v>
      </c>
      <c r="H48" s="249">
        <f t="shared" si="1"/>
        <v>98228.84</v>
      </c>
      <c r="I48" s="250">
        <v>65184.66</v>
      </c>
      <c r="J48" s="250">
        <v>4911.43</v>
      </c>
      <c r="K48" s="251">
        <v>28132.75</v>
      </c>
      <c r="L48" s="262" t="s">
        <v>620</v>
      </c>
    </row>
    <row r="49" spans="1:13" s="395" customFormat="1" ht="24" customHeight="1" x14ac:dyDescent="0.2">
      <c r="A49" s="391">
        <v>8</v>
      </c>
      <c r="B49" s="392" t="s">
        <v>223</v>
      </c>
      <c r="C49" s="290">
        <f>SUM(C50:C56)</f>
        <v>5689697.2700000005</v>
      </c>
      <c r="D49" s="393">
        <f>E49+F49+G49</f>
        <v>5689697.2699999996</v>
      </c>
      <c r="E49" s="289">
        <f>SUM(E50:E56)</f>
        <v>4422772.3847828405</v>
      </c>
      <c r="F49" s="289">
        <f>SUM(F50:F56)</f>
        <v>284484.8606571593</v>
      </c>
      <c r="G49" s="247">
        <f>SUM(G50:G56)</f>
        <v>982440.02456000005</v>
      </c>
      <c r="H49" s="288">
        <f t="shared" si="1"/>
        <v>2227811.14</v>
      </c>
      <c r="I49" s="289">
        <f>SUM(I50:I56)</f>
        <v>1811798.59</v>
      </c>
      <c r="J49" s="289">
        <f>SUM(J50:J56)</f>
        <v>111446.97</v>
      </c>
      <c r="K49" s="247">
        <f>SUM(K50:K56)</f>
        <v>304565.58</v>
      </c>
      <c r="L49" s="394"/>
    </row>
    <row r="50" spans="1:13" s="91" customFormat="1" outlineLevel="1" x14ac:dyDescent="0.25">
      <c r="A50" s="260"/>
      <c r="B50" s="261" t="s">
        <v>68</v>
      </c>
      <c r="C50" s="252">
        <v>570703.94999999995</v>
      </c>
      <c r="D50" s="249">
        <f t="shared" ref="D50" si="12">E50+F50+G50</f>
        <v>570703.94999999995</v>
      </c>
      <c r="E50" s="250">
        <f>415270.23+5879.54</f>
        <v>421149.76999999996</v>
      </c>
      <c r="F50" s="250">
        <f>28226.63+291.75</f>
        <v>28518.38</v>
      </c>
      <c r="G50" s="251">
        <v>121035.8</v>
      </c>
      <c r="H50" s="249">
        <f>SUM(I50:K50)</f>
        <v>564532.66</v>
      </c>
      <c r="I50" s="250">
        <v>415270.23</v>
      </c>
      <c r="J50" s="250">
        <v>28226.63</v>
      </c>
      <c r="K50" s="251">
        <v>121035.8</v>
      </c>
      <c r="L50" s="262" t="s">
        <v>687</v>
      </c>
      <c r="M50" s="597">
        <v>42607</v>
      </c>
    </row>
    <row r="51" spans="1:13" s="91" customFormat="1" outlineLevel="1" x14ac:dyDescent="0.25">
      <c r="A51" s="260"/>
      <c r="B51" s="261" t="s">
        <v>64</v>
      </c>
      <c r="C51" s="252">
        <v>3455714.8400000003</v>
      </c>
      <c r="D51" s="249">
        <f t="shared" ref="D51:D52" si="13">E51+F51+G51</f>
        <v>3455714.84</v>
      </c>
      <c r="E51" s="250">
        <v>2612048.9899999998</v>
      </c>
      <c r="F51" s="250">
        <v>172746.14</v>
      </c>
      <c r="G51" s="251">
        <v>670919.71</v>
      </c>
      <c r="H51" s="249">
        <f t="shared" si="1"/>
        <v>0</v>
      </c>
      <c r="I51" s="250"/>
      <c r="J51" s="250"/>
      <c r="K51" s="251"/>
      <c r="L51" s="262" t="s">
        <v>644</v>
      </c>
      <c r="M51" s="597">
        <v>42592</v>
      </c>
    </row>
    <row r="52" spans="1:13" s="91" customFormat="1" outlineLevel="1" x14ac:dyDescent="0.25">
      <c r="A52" s="260"/>
      <c r="B52" s="261" t="s">
        <v>65</v>
      </c>
      <c r="C52" s="252">
        <f>433058.18+8179.35</f>
        <v>441237.52999999997</v>
      </c>
      <c r="D52" s="249">
        <f t="shared" si="13"/>
        <v>441237.52999999997</v>
      </c>
      <c r="E52" s="250">
        <f>C52*0.7356</f>
        <v>324574.32706799998</v>
      </c>
      <c r="F52" s="250">
        <f>C52*5%</f>
        <v>22061.876499999998</v>
      </c>
      <c r="G52" s="251">
        <f>C52-E52-F52</f>
        <v>94601.326431999987</v>
      </c>
      <c r="H52" s="249">
        <f t="shared" si="1"/>
        <v>441237.53</v>
      </c>
      <c r="I52" s="250">
        <v>328615.14</v>
      </c>
      <c r="J52" s="250">
        <v>22061.88</v>
      </c>
      <c r="K52" s="251">
        <v>90560.51</v>
      </c>
      <c r="L52" s="262" t="s">
        <v>644</v>
      </c>
    </row>
    <row r="53" spans="1:13" s="91" customFormat="1" outlineLevel="1" x14ac:dyDescent="0.25">
      <c r="A53" s="260"/>
      <c r="B53" s="261" t="s">
        <v>66</v>
      </c>
      <c r="C53" s="252">
        <f>312443.23+5741.41</f>
        <v>318184.63999999996</v>
      </c>
      <c r="D53" s="249">
        <f t="shared" ref="D53:D54" si="14">E53+F53+G53</f>
        <v>318184.63999999996</v>
      </c>
      <c r="E53" s="250">
        <f>C53*0.7356</f>
        <v>234056.62118399999</v>
      </c>
      <c r="F53" s="250">
        <f>C53*5%</f>
        <v>15909.231999999998</v>
      </c>
      <c r="G53" s="251">
        <f>C53-E53-F53</f>
        <v>68218.786815999963</v>
      </c>
      <c r="H53" s="249">
        <f t="shared" si="1"/>
        <v>318184.64</v>
      </c>
      <c r="I53" s="250">
        <v>236970.54</v>
      </c>
      <c r="J53" s="250">
        <v>15909.23</v>
      </c>
      <c r="K53" s="251">
        <v>65304.87</v>
      </c>
      <c r="L53" s="262" t="s">
        <v>644</v>
      </c>
    </row>
    <row r="54" spans="1:13" s="91" customFormat="1" outlineLevel="1" x14ac:dyDescent="0.25">
      <c r="A54" s="260"/>
      <c r="B54" s="261" t="s">
        <v>571</v>
      </c>
      <c r="C54" s="252">
        <v>758679.82</v>
      </c>
      <c r="D54" s="249">
        <f t="shared" si="14"/>
        <v>758679.82</v>
      </c>
      <c r="E54" s="250">
        <v>720745.83</v>
      </c>
      <c r="F54" s="250">
        <v>37933.99</v>
      </c>
      <c r="G54" s="251">
        <f>C54-E54-F54</f>
        <v>0</v>
      </c>
      <c r="H54" s="249">
        <f>SUM(I54:K54)</f>
        <v>758679.82</v>
      </c>
      <c r="I54" s="250">
        <v>720745.83</v>
      </c>
      <c r="J54" s="250">
        <v>37933.99</v>
      </c>
      <c r="K54" s="251">
        <v>0</v>
      </c>
      <c r="L54" s="262" t="s">
        <v>761</v>
      </c>
      <c r="M54" s="597">
        <v>42559</v>
      </c>
    </row>
    <row r="55" spans="1:13" s="91" customFormat="1" outlineLevel="1" x14ac:dyDescent="0.25">
      <c r="A55" s="260"/>
      <c r="B55" s="261" t="s">
        <v>554</v>
      </c>
      <c r="C55" s="252">
        <v>48582.91</v>
      </c>
      <c r="D55" s="316">
        <f>SUM(E55:G55)</f>
        <v>48582.910000000011</v>
      </c>
      <c r="E55" s="250">
        <v>46097.346842840729</v>
      </c>
      <c r="F55" s="250">
        <v>2485.5631571592789</v>
      </c>
      <c r="G55" s="251">
        <v>0</v>
      </c>
      <c r="H55" s="249">
        <f t="shared" si="1"/>
        <v>48582.909999999996</v>
      </c>
      <c r="I55" s="250">
        <v>46097.35</v>
      </c>
      <c r="J55" s="250">
        <v>2485.56</v>
      </c>
      <c r="K55" s="251">
        <v>0</v>
      </c>
      <c r="L55" s="262" t="s">
        <v>811</v>
      </c>
      <c r="M55" s="597">
        <v>42604</v>
      </c>
    </row>
    <row r="56" spans="1:13" s="91" customFormat="1" outlineLevel="1" x14ac:dyDescent="0.25">
      <c r="A56" s="260"/>
      <c r="B56" s="261" t="s">
        <v>67</v>
      </c>
      <c r="C56" s="252">
        <v>96593.58</v>
      </c>
      <c r="D56" s="249">
        <f>SUM(E56:G56)</f>
        <v>96593.58</v>
      </c>
      <c r="E56" s="250">
        <f>C56*0.6636</f>
        <v>64099.499687999996</v>
      </c>
      <c r="F56" s="250">
        <f>C56*5%</f>
        <v>4829.6790000000001</v>
      </c>
      <c r="G56" s="251">
        <f>C56-E56-F56</f>
        <v>27664.401312000005</v>
      </c>
      <c r="H56" s="249">
        <f t="shared" si="1"/>
        <v>96593.579999999987</v>
      </c>
      <c r="I56" s="250">
        <v>64099.5</v>
      </c>
      <c r="J56" s="250">
        <v>4829.68</v>
      </c>
      <c r="K56" s="251">
        <v>27664.400000000001</v>
      </c>
      <c r="L56" s="262" t="s">
        <v>620</v>
      </c>
    </row>
    <row r="57" spans="1:13" s="395" customFormat="1" ht="14.25" customHeight="1" x14ac:dyDescent="0.2">
      <c r="A57" s="391">
        <v>9</v>
      </c>
      <c r="B57" s="392" t="s">
        <v>224</v>
      </c>
      <c r="C57" s="290">
        <f>SUM(C58:C64)</f>
        <v>5821788.5600000005</v>
      </c>
      <c r="D57" s="393">
        <f>E57+F57+G57</f>
        <v>5821788.5600000015</v>
      </c>
      <c r="E57" s="289">
        <f>SUM(E58:E64)</f>
        <v>4525450.9024844859</v>
      </c>
      <c r="F57" s="289">
        <f>SUM(F58:F64)</f>
        <v>291089.4179375149</v>
      </c>
      <c r="G57" s="247">
        <f>SUM(G58:G64)</f>
        <v>1005248.2395780002</v>
      </c>
      <c r="H57" s="288">
        <f t="shared" si="1"/>
        <v>1709715.1600000001</v>
      </c>
      <c r="I57" s="289">
        <f>SUM(I58:I64)</f>
        <v>1430910.07</v>
      </c>
      <c r="J57" s="289">
        <f>SUM(J58:J64)</f>
        <v>85692.76</v>
      </c>
      <c r="K57" s="247">
        <f>SUM(K58:K64)</f>
        <v>193112.33</v>
      </c>
      <c r="L57" s="394"/>
    </row>
    <row r="58" spans="1:13" s="91" customFormat="1" outlineLevel="1" x14ac:dyDescent="0.25">
      <c r="A58" s="260"/>
      <c r="B58" s="261" t="s">
        <v>68</v>
      </c>
      <c r="C58" s="252">
        <v>616960.92999999993</v>
      </c>
      <c r="D58" s="249">
        <f t="shared" ref="D58:D63" si="15">E58+F58+G58</f>
        <v>616960.92999999993</v>
      </c>
      <c r="E58" s="250">
        <v>582184.93956248497</v>
      </c>
      <c r="F58" s="250">
        <v>34775.990437514905</v>
      </c>
      <c r="G58" s="251">
        <v>0</v>
      </c>
      <c r="H58" s="249">
        <f t="shared" si="1"/>
        <v>0</v>
      </c>
      <c r="I58" s="250"/>
      <c r="J58" s="250"/>
      <c r="K58" s="251"/>
      <c r="L58" s="262" t="s">
        <v>687</v>
      </c>
      <c r="M58" s="597">
        <v>42537</v>
      </c>
    </row>
    <row r="59" spans="1:13" s="91" customFormat="1" outlineLevel="1" x14ac:dyDescent="0.25">
      <c r="A59" s="260"/>
      <c r="B59" s="261" t="s">
        <v>64</v>
      </c>
      <c r="C59" s="252">
        <v>3495112.47</v>
      </c>
      <c r="D59" s="249">
        <f t="shared" si="15"/>
        <v>3495112.47</v>
      </c>
      <c r="E59" s="250">
        <v>2519357.71</v>
      </c>
      <c r="F59" s="250">
        <v>170620.68</v>
      </c>
      <c r="G59" s="251">
        <v>805134.08000000007</v>
      </c>
      <c r="H59" s="249">
        <f t="shared" si="1"/>
        <v>0</v>
      </c>
      <c r="I59" s="250"/>
      <c r="J59" s="250"/>
      <c r="K59" s="251"/>
      <c r="L59" s="262" t="s">
        <v>644</v>
      </c>
      <c r="M59" s="712">
        <v>42578</v>
      </c>
    </row>
    <row r="60" spans="1:13" s="91" customFormat="1" outlineLevel="1" x14ac:dyDescent="0.25">
      <c r="A60" s="260"/>
      <c r="B60" s="261" t="s">
        <v>65</v>
      </c>
      <c r="C60" s="252">
        <f>457315.69+8412.82</f>
        <v>465728.51</v>
      </c>
      <c r="D60" s="249">
        <f t="shared" si="15"/>
        <v>465728.51</v>
      </c>
      <c r="E60" s="250">
        <f>C60*0.7356</f>
        <v>342589.89195600001</v>
      </c>
      <c r="F60" s="250">
        <f>C60*5%</f>
        <v>23286.425500000001</v>
      </c>
      <c r="G60" s="251">
        <f>C60-E60-F60</f>
        <v>99852.192544000005</v>
      </c>
      <c r="H60" s="249">
        <f t="shared" si="1"/>
        <v>465728.51</v>
      </c>
      <c r="I60" s="250">
        <v>346678.81</v>
      </c>
      <c r="J60" s="250">
        <v>23286.43</v>
      </c>
      <c r="K60" s="251">
        <v>95763.27</v>
      </c>
      <c r="L60" s="262" t="s">
        <v>644</v>
      </c>
    </row>
    <row r="61" spans="1:13" s="91" customFormat="1" outlineLevel="1" x14ac:dyDescent="0.25">
      <c r="A61" s="260"/>
      <c r="B61" s="261" t="s">
        <v>66</v>
      </c>
      <c r="C61" s="252">
        <f>325812.11+5967.86</f>
        <v>331779.96999999997</v>
      </c>
      <c r="D61" s="249">
        <f t="shared" si="15"/>
        <v>331779.96999999997</v>
      </c>
      <c r="E61" s="250">
        <f>C61*0.7356</f>
        <v>244057.345932</v>
      </c>
      <c r="F61" s="250">
        <f>C61*5%</f>
        <v>16588.998499999998</v>
      </c>
      <c r="G61" s="251">
        <f>C61-E61-F61</f>
        <v>71133.625567999974</v>
      </c>
      <c r="H61" s="249">
        <f t="shared" si="1"/>
        <v>331779.96999999997</v>
      </c>
      <c r="I61" s="250">
        <v>246970.25</v>
      </c>
      <c r="J61" s="250">
        <v>16589</v>
      </c>
      <c r="K61" s="251">
        <v>68220.72</v>
      </c>
      <c r="L61" s="262" t="s">
        <v>644</v>
      </c>
    </row>
    <row r="62" spans="1:13" s="91" customFormat="1" outlineLevel="1" x14ac:dyDescent="0.25">
      <c r="A62" s="260"/>
      <c r="B62" s="261" t="s">
        <v>571</v>
      </c>
      <c r="C62" s="252">
        <v>766788.78000000014</v>
      </c>
      <c r="D62" s="249">
        <f t="shared" si="15"/>
        <v>766788.78000000026</v>
      </c>
      <c r="E62" s="250">
        <v>728449.34</v>
      </c>
      <c r="F62" s="250">
        <v>38339.440000000002</v>
      </c>
      <c r="G62" s="251">
        <f>C62-E62-F62</f>
        <v>1.7462298274040222E-10</v>
      </c>
      <c r="H62" s="249">
        <f t="shared" si="1"/>
        <v>766788.78</v>
      </c>
      <c r="I62" s="250">
        <v>728449.34</v>
      </c>
      <c r="J62" s="250">
        <v>38339.440000000002</v>
      </c>
      <c r="K62" s="251">
        <v>0</v>
      </c>
      <c r="L62" s="262" t="s">
        <v>761</v>
      </c>
      <c r="M62" s="597">
        <v>42578</v>
      </c>
    </row>
    <row r="63" spans="1:13" s="91" customFormat="1" outlineLevel="1" x14ac:dyDescent="0.25">
      <c r="A63" s="260"/>
      <c r="B63" s="261" t="s">
        <v>554</v>
      </c>
      <c r="C63" s="252">
        <v>48170.19</v>
      </c>
      <c r="D63" s="249">
        <f t="shared" si="15"/>
        <v>48170.19</v>
      </c>
      <c r="E63" s="250">
        <v>44278.094678000081</v>
      </c>
      <c r="F63" s="250">
        <v>2615.4980000000214</v>
      </c>
      <c r="G63" s="251">
        <v>1276.5973219998996</v>
      </c>
      <c r="H63" s="249">
        <f t="shared" si="1"/>
        <v>48170.189999999995</v>
      </c>
      <c r="I63" s="250">
        <v>44278.09</v>
      </c>
      <c r="J63" s="250">
        <v>2615.5</v>
      </c>
      <c r="K63" s="251">
        <v>1276.5999999999999</v>
      </c>
      <c r="L63" s="262" t="s">
        <v>811</v>
      </c>
      <c r="M63" s="597">
        <v>42604</v>
      </c>
    </row>
    <row r="64" spans="1:13" s="91" customFormat="1" outlineLevel="1" x14ac:dyDescent="0.25">
      <c r="A64" s="260"/>
      <c r="B64" s="261" t="s">
        <v>67</v>
      </c>
      <c r="C64" s="252">
        <v>97247.71</v>
      </c>
      <c r="D64" s="249">
        <f>SUM(E64:G64)</f>
        <v>97247.71</v>
      </c>
      <c r="E64" s="250">
        <f>C64*0.6636</f>
        <v>64533.580355999999</v>
      </c>
      <c r="F64" s="250">
        <f>C64*5%</f>
        <v>4862.3855000000003</v>
      </c>
      <c r="G64" s="251">
        <f>C64-E64-F64</f>
        <v>27851.744144000008</v>
      </c>
      <c r="H64" s="249">
        <f t="shared" si="1"/>
        <v>97247.71</v>
      </c>
      <c r="I64" s="250">
        <v>64533.58</v>
      </c>
      <c r="J64" s="250">
        <v>4862.3900000000003</v>
      </c>
      <c r="K64" s="251">
        <v>27851.74</v>
      </c>
      <c r="L64" s="262" t="s">
        <v>620</v>
      </c>
    </row>
    <row r="65" spans="1:13" s="9" customFormat="1" ht="15" customHeight="1" x14ac:dyDescent="0.2">
      <c r="A65" s="140">
        <v>10</v>
      </c>
      <c r="B65" s="60" t="s">
        <v>225</v>
      </c>
      <c r="C65" s="63">
        <f>SUM(C66:C67)</f>
        <v>9392545.6799999997</v>
      </c>
      <c r="D65" s="13">
        <f>E65+F65+G65</f>
        <v>9392545.6800000016</v>
      </c>
      <c r="E65" s="75">
        <f>SUM(E66:E67)</f>
        <v>7862030.3574655</v>
      </c>
      <c r="F65" s="75">
        <f>SUM(F66:F67)</f>
        <v>469627.28550000006</v>
      </c>
      <c r="G65" s="80">
        <f>SUM(G66:G67)</f>
        <v>1060888.0370345009</v>
      </c>
      <c r="H65" s="40">
        <f t="shared" si="1"/>
        <v>9392545.6799999997</v>
      </c>
      <c r="I65" s="75">
        <f>SUM(I66:I67)</f>
        <v>7862030.3700000001</v>
      </c>
      <c r="J65" s="75">
        <f>SUM(J66:J67)</f>
        <v>469627.28</v>
      </c>
      <c r="K65" s="80">
        <f>SUM(K66:K67)</f>
        <v>1060888.03</v>
      </c>
      <c r="L65" s="79"/>
    </row>
    <row r="66" spans="1:13" s="91" customFormat="1" outlineLevel="1" x14ac:dyDescent="0.25">
      <c r="A66" s="260"/>
      <c r="B66" s="261" t="s">
        <v>555</v>
      </c>
      <c r="C66" s="252">
        <v>9226670.2300000004</v>
      </c>
      <c r="D66" s="316">
        <f>E66+F66+G66</f>
        <v>9226670.2300000004</v>
      </c>
      <c r="E66" s="250">
        <f>C66*0.83705</f>
        <v>7723184.3160215002</v>
      </c>
      <c r="F66" s="250">
        <f>C66*0.05</f>
        <v>461333.51150000002</v>
      </c>
      <c r="G66" s="251">
        <f>C66-E66-F66</f>
        <v>1042152.4024785003</v>
      </c>
      <c r="H66" s="249">
        <f t="shared" si="1"/>
        <v>9226670.2300000004</v>
      </c>
      <c r="I66" s="250">
        <v>7723184.3200000003</v>
      </c>
      <c r="J66" s="250">
        <v>461333.51</v>
      </c>
      <c r="K66" s="251">
        <v>1042152.4</v>
      </c>
      <c r="L66" s="262" t="s">
        <v>759</v>
      </c>
    </row>
    <row r="67" spans="1:13" s="91" customFormat="1" outlineLevel="1" x14ac:dyDescent="0.25">
      <c r="A67" s="260"/>
      <c r="B67" s="261" t="s">
        <v>554</v>
      </c>
      <c r="C67" s="252">
        <v>165875.45000000001</v>
      </c>
      <c r="D67" s="316">
        <f>SUM(E67:G67)</f>
        <v>165875.45000000001</v>
      </c>
      <c r="E67" s="250">
        <v>138846.04144399945</v>
      </c>
      <c r="F67" s="250">
        <v>8293.7740000000067</v>
      </c>
      <c r="G67" s="251">
        <v>18735.634556000543</v>
      </c>
      <c r="H67" s="249">
        <f t="shared" si="1"/>
        <v>165875.44999999998</v>
      </c>
      <c r="I67" s="250">
        <v>138846.04999999999</v>
      </c>
      <c r="J67" s="250">
        <v>8293.77</v>
      </c>
      <c r="K67" s="251">
        <v>18735.63</v>
      </c>
      <c r="L67" s="262" t="s">
        <v>811</v>
      </c>
      <c r="M67" s="597">
        <v>42604</v>
      </c>
    </row>
    <row r="68" spans="1:13" s="395" customFormat="1" ht="15" customHeight="1" x14ac:dyDescent="0.2">
      <c r="A68" s="391">
        <v>11</v>
      </c>
      <c r="B68" s="392" t="s">
        <v>569</v>
      </c>
      <c r="C68" s="290">
        <f>SUM(C69:C70)</f>
        <v>7128175.1399999997</v>
      </c>
      <c r="D68" s="393">
        <f>E68+F68+G68</f>
        <v>7128175.1399999997</v>
      </c>
      <c r="E68" s="289">
        <f>SUM(E69:E70)</f>
        <v>5540944.3784519993</v>
      </c>
      <c r="F68" s="289">
        <f>SUM(F69:F70)</f>
        <v>356408.7635</v>
      </c>
      <c r="G68" s="247">
        <f>SUM(G69:G70)</f>
        <v>1230821.998048</v>
      </c>
      <c r="H68" s="288">
        <f t="shared" si="1"/>
        <v>103901.67000000001</v>
      </c>
      <c r="I68" s="289">
        <f>SUM(I69:I70)</f>
        <v>76430.070000000007</v>
      </c>
      <c r="J68" s="289">
        <f>SUM(J69:J70)</f>
        <v>5195.08</v>
      </c>
      <c r="K68" s="247">
        <f>SUM(K69:K70)</f>
        <v>22276.52</v>
      </c>
      <c r="L68" s="394"/>
    </row>
    <row r="69" spans="1:13" s="91" customFormat="1" outlineLevel="1" x14ac:dyDescent="0.25">
      <c r="A69" s="260"/>
      <c r="B69" s="261" t="s">
        <v>555</v>
      </c>
      <c r="C69" s="364">
        <v>7024273.4699999997</v>
      </c>
      <c r="D69" s="316">
        <f>E69+F69+G69</f>
        <v>7024273.4699999988</v>
      </c>
      <c r="E69" s="250">
        <v>5464514.3099999996</v>
      </c>
      <c r="F69" s="250">
        <v>351213.68</v>
      </c>
      <c r="G69" s="251">
        <v>1208545.48</v>
      </c>
      <c r="H69" s="249">
        <f t="shared" si="1"/>
        <v>0</v>
      </c>
      <c r="I69" s="250"/>
      <c r="J69" s="250"/>
      <c r="K69" s="251"/>
      <c r="L69" s="262" t="s">
        <v>869</v>
      </c>
      <c r="M69" s="597">
        <v>42656</v>
      </c>
    </row>
    <row r="70" spans="1:13" s="91" customFormat="1" outlineLevel="1" x14ac:dyDescent="0.25">
      <c r="A70" s="260"/>
      <c r="B70" s="261" t="s">
        <v>67</v>
      </c>
      <c r="C70" s="252">
        <v>103901.67</v>
      </c>
      <c r="D70" s="316">
        <f>E70+F70+G70</f>
        <v>103901.67000000001</v>
      </c>
      <c r="E70" s="250">
        <f>C70*0.7356</f>
        <v>76430.068452000007</v>
      </c>
      <c r="F70" s="250">
        <f>C70*0.05</f>
        <v>5195.0835000000006</v>
      </c>
      <c r="G70" s="251">
        <f>C70-E70-F70</f>
        <v>22276.518047999991</v>
      </c>
      <c r="H70" s="249">
        <f t="shared" ref="H70:H127" si="16">SUM(I70:K70)</f>
        <v>103901.67000000001</v>
      </c>
      <c r="I70" s="250">
        <v>76430.070000000007</v>
      </c>
      <c r="J70" s="250">
        <v>5195.08</v>
      </c>
      <c r="K70" s="251">
        <v>22276.52</v>
      </c>
      <c r="L70" s="262" t="s">
        <v>620</v>
      </c>
    </row>
    <row r="71" spans="1:13" s="9" customFormat="1" ht="17.25" customHeight="1" x14ac:dyDescent="0.2">
      <c r="A71" s="140">
        <v>12</v>
      </c>
      <c r="B71" s="60" t="s">
        <v>226</v>
      </c>
      <c r="C71" s="63">
        <f>SUM(C72:C73)</f>
        <v>10838835.6</v>
      </c>
      <c r="D71" s="13">
        <f>E71+F71+G71</f>
        <v>10838835.600000001</v>
      </c>
      <c r="E71" s="75">
        <f>SUM(E72:E73)</f>
        <v>9072647.3381279986</v>
      </c>
      <c r="F71" s="75">
        <f>SUM(F72:F73)</f>
        <v>541941.77800000005</v>
      </c>
      <c r="G71" s="80">
        <f>SUM(G72:G73)</f>
        <v>1224246.4838720011</v>
      </c>
      <c r="H71" s="40">
        <f t="shared" si="16"/>
        <v>10838835.6</v>
      </c>
      <c r="I71" s="75">
        <f>SUM(I72:I73)</f>
        <v>9072647.3399999999</v>
      </c>
      <c r="J71" s="75">
        <f>SUM(J72:J73)</f>
        <v>541941.78</v>
      </c>
      <c r="K71" s="80">
        <f>SUM(K72:K73)</f>
        <v>1224246.48</v>
      </c>
      <c r="L71" s="79"/>
    </row>
    <row r="72" spans="1:13" s="91" customFormat="1" outlineLevel="1" x14ac:dyDescent="0.25">
      <c r="A72" s="260"/>
      <c r="B72" s="261" t="s">
        <v>555</v>
      </c>
      <c r="C72" s="252">
        <v>10636888.560000001</v>
      </c>
      <c r="D72" s="316">
        <f>E72+F72+G72</f>
        <v>10636888.560000001</v>
      </c>
      <c r="E72" s="250">
        <f>C72*0.83705</f>
        <v>8903607.5691480003</v>
      </c>
      <c r="F72" s="250">
        <f>C72*0.05</f>
        <v>531844.42800000007</v>
      </c>
      <c r="G72" s="251">
        <f>C72-E72-F72</f>
        <v>1201436.5628520001</v>
      </c>
      <c r="H72" s="249">
        <f t="shared" si="16"/>
        <v>10636888.560000001</v>
      </c>
      <c r="I72" s="250">
        <v>8903607.5700000003</v>
      </c>
      <c r="J72" s="250">
        <v>531844.43000000005</v>
      </c>
      <c r="K72" s="251">
        <v>1201436.56</v>
      </c>
      <c r="L72" s="262" t="s">
        <v>758</v>
      </c>
    </row>
    <row r="73" spans="1:13" s="91" customFormat="1" outlineLevel="1" x14ac:dyDescent="0.25">
      <c r="A73" s="260"/>
      <c r="B73" s="261" t="s">
        <v>554</v>
      </c>
      <c r="C73" s="252">
        <v>201947.04</v>
      </c>
      <c r="D73" s="316">
        <f>SUM(E73:G73)</f>
        <v>201947.04</v>
      </c>
      <c r="E73" s="250">
        <v>169039.76897999897</v>
      </c>
      <c r="F73" s="250">
        <v>10097.350000000017</v>
      </c>
      <c r="G73" s="251">
        <v>22809.921020001031</v>
      </c>
      <c r="H73" s="249">
        <f t="shared" si="16"/>
        <v>201947.03999999998</v>
      </c>
      <c r="I73" s="250">
        <v>169039.77</v>
      </c>
      <c r="J73" s="250">
        <v>10097.35</v>
      </c>
      <c r="K73" s="251">
        <v>22809.919999999998</v>
      </c>
      <c r="L73" s="262" t="s">
        <v>811</v>
      </c>
      <c r="M73" s="597">
        <v>42604</v>
      </c>
    </row>
    <row r="74" spans="1:13" s="395" customFormat="1" ht="15" customHeight="1" x14ac:dyDescent="0.2">
      <c r="A74" s="391">
        <v>13</v>
      </c>
      <c r="B74" s="392" t="s">
        <v>242</v>
      </c>
      <c r="C74" s="290">
        <f>SUM(C75:C76)</f>
        <v>4930912.87</v>
      </c>
      <c r="D74" s="393">
        <f>E74+F74+G74</f>
        <v>4930912.87</v>
      </c>
      <c r="E74" s="289">
        <f>SUM(E75:E76)</f>
        <v>3832946.4997879998</v>
      </c>
      <c r="F74" s="289">
        <f>SUM(F75:F76)</f>
        <v>246545.63650000002</v>
      </c>
      <c r="G74" s="247">
        <f>SUM(G75:G76)</f>
        <v>851420.73371200007</v>
      </c>
      <c r="H74" s="288">
        <f t="shared" si="16"/>
        <v>102338.73</v>
      </c>
      <c r="I74" s="289">
        <f>SUM(I75:I76)</f>
        <v>75280.37</v>
      </c>
      <c r="J74" s="289">
        <f>SUM(J75:J76)</f>
        <v>5116.9399999999996</v>
      </c>
      <c r="K74" s="247">
        <f>SUM(K75:K76)</f>
        <v>21941.42</v>
      </c>
      <c r="L74" s="394"/>
    </row>
    <row r="75" spans="1:13" s="91" customFormat="1" outlineLevel="1" x14ac:dyDescent="0.25">
      <c r="A75" s="260"/>
      <c r="B75" s="261" t="s">
        <v>555</v>
      </c>
      <c r="C75" s="252">
        <v>4828574.1399999997</v>
      </c>
      <c r="D75" s="316">
        <f>E75+F75+G75</f>
        <v>4828574.1400000006</v>
      </c>
      <c r="E75" s="250">
        <v>3757666.13</v>
      </c>
      <c r="F75" s="250">
        <v>241428.7</v>
      </c>
      <c r="G75" s="251">
        <v>829479.31</v>
      </c>
      <c r="H75" s="249">
        <f t="shared" si="16"/>
        <v>0</v>
      </c>
      <c r="I75" s="250"/>
      <c r="J75" s="250"/>
      <c r="K75" s="251"/>
      <c r="L75" s="262" t="s">
        <v>869</v>
      </c>
      <c r="M75" s="597">
        <v>42656</v>
      </c>
    </row>
    <row r="76" spans="1:13" s="91" customFormat="1" outlineLevel="1" x14ac:dyDescent="0.25">
      <c r="A76" s="260"/>
      <c r="B76" s="261" t="s">
        <v>67</v>
      </c>
      <c r="C76" s="252">
        <v>102338.73</v>
      </c>
      <c r="D76" s="316">
        <f>E76+F76+G76</f>
        <v>102338.73</v>
      </c>
      <c r="E76" s="250">
        <f>C76*0.7356</f>
        <v>75280.369787999996</v>
      </c>
      <c r="F76" s="250">
        <f>C76*0.05</f>
        <v>5116.9364999999998</v>
      </c>
      <c r="G76" s="251">
        <f>C76-E76-F76</f>
        <v>21941.423712</v>
      </c>
      <c r="H76" s="249">
        <f t="shared" si="16"/>
        <v>102338.73</v>
      </c>
      <c r="I76" s="250">
        <v>75280.37</v>
      </c>
      <c r="J76" s="250">
        <v>5116.9399999999996</v>
      </c>
      <c r="K76" s="251">
        <v>21941.42</v>
      </c>
      <c r="L76" s="262" t="s">
        <v>620</v>
      </c>
    </row>
    <row r="77" spans="1:13" s="9" customFormat="1" ht="12.75" customHeight="1" x14ac:dyDescent="0.2">
      <c r="A77" s="140">
        <v>14</v>
      </c>
      <c r="B77" s="60" t="s">
        <v>244</v>
      </c>
      <c r="C77" s="63">
        <f>SUM(C78:C80)</f>
        <v>109829.47</v>
      </c>
      <c r="D77" s="13">
        <f>E77+F77+G77</f>
        <v>109829.47</v>
      </c>
      <c r="E77" s="75">
        <f>SUM(E78:E80)</f>
        <v>80790.558132000006</v>
      </c>
      <c r="F77" s="75">
        <f>SUM(F78:F80)</f>
        <v>5491.4735000000001</v>
      </c>
      <c r="G77" s="80">
        <f>SUM(G78:G80)</f>
        <v>23547.438367999996</v>
      </c>
      <c r="H77" s="40">
        <f t="shared" si="16"/>
        <v>109829.47</v>
      </c>
      <c r="I77" s="75">
        <f>SUM(I78:I80)</f>
        <v>80790.559999999998</v>
      </c>
      <c r="J77" s="75">
        <f>SUM(J78:J80)</f>
        <v>5491.47</v>
      </c>
      <c r="K77" s="80">
        <f>SUM(K78:K80)</f>
        <v>23547.439999999999</v>
      </c>
      <c r="L77" s="79"/>
    </row>
    <row r="78" spans="1:13" outlineLevel="1" x14ac:dyDescent="0.25">
      <c r="A78" s="10"/>
      <c r="B78" s="43" t="s">
        <v>555</v>
      </c>
      <c r="C78" s="47"/>
      <c r="D78" s="53"/>
      <c r="E78" s="72"/>
      <c r="F78" s="72"/>
      <c r="G78" s="92"/>
      <c r="H78" s="42">
        <f t="shared" si="16"/>
        <v>0</v>
      </c>
      <c r="I78" s="72"/>
      <c r="J78" s="72"/>
      <c r="K78" s="92"/>
      <c r="L78" s="57"/>
    </row>
    <row r="79" spans="1:13" outlineLevel="1" x14ac:dyDescent="0.25">
      <c r="A79" s="10"/>
      <c r="B79" s="43" t="s">
        <v>554</v>
      </c>
      <c r="C79" s="47"/>
      <c r="D79" s="53"/>
      <c r="E79" s="72"/>
      <c r="F79" s="72"/>
      <c r="G79" s="92"/>
      <c r="H79" s="42">
        <f t="shared" si="16"/>
        <v>0</v>
      </c>
      <c r="I79" s="72"/>
      <c r="J79" s="72"/>
      <c r="K79" s="92"/>
      <c r="L79" s="57"/>
    </row>
    <row r="80" spans="1:13" s="91" customFormat="1" outlineLevel="1" x14ac:dyDescent="0.25">
      <c r="A80" s="260"/>
      <c r="B80" s="261" t="s">
        <v>67</v>
      </c>
      <c r="C80" s="252">
        <v>109829.47</v>
      </c>
      <c r="D80" s="316">
        <f>E80+F80+G80</f>
        <v>109829.47</v>
      </c>
      <c r="E80" s="250">
        <f>C80*0.7356</f>
        <v>80790.558132000006</v>
      </c>
      <c r="F80" s="250">
        <f>C80*0.05</f>
        <v>5491.4735000000001</v>
      </c>
      <c r="G80" s="251">
        <f>C80-E80-F80</f>
        <v>23547.438367999996</v>
      </c>
      <c r="H80" s="249">
        <f t="shared" si="16"/>
        <v>109829.47</v>
      </c>
      <c r="I80" s="250">
        <v>80790.559999999998</v>
      </c>
      <c r="J80" s="250">
        <v>5491.47</v>
      </c>
      <c r="K80" s="251">
        <v>23547.439999999999</v>
      </c>
      <c r="L80" s="262" t="s">
        <v>620</v>
      </c>
    </row>
    <row r="81" spans="1:13" s="395" customFormat="1" ht="24" customHeight="1" x14ac:dyDescent="0.2">
      <c r="A81" s="391">
        <v>15</v>
      </c>
      <c r="B81" s="392" t="s">
        <v>245</v>
      </c>
      <c r="C81" s="290">
        <f>SUM(C82:C83)</f>
        <v>5949529.5599999996</v>
      </c>
      <c r="D81" s="393">
        <f>E81+F81+G81</f>
        <v>5949529.5600000005</v>
      </c>
      <c r="E81" s="289">
        <f>SUM(E82:E83)</f>
        <v>4624747.8086040001</v>
      </c>
      <c r="F81" s="289">
        <f>SUM(F82:F83)</f>
        <v>297476.48449999996</v>
      </c>
      <c r="G81" s="247">
        <f>SUM(G82:G83)</f>
        <v>1027305.266896</v>
      </c>
      <c r="H81" s="288">
        <f t="shared" si="16"/>
        <v>113954.09</v>
      </c>
      <c r="I81" s="289">
        <f>SUM(I82:I83)</f>
        <v>83824.63</v>
      </c>
      <c r="J81" s="289">
        <f>SUM(J82:J83)</f>
        <v>5697.7</v>
      </c>
      <c r="K81" s="247">
        <f>SUM(K82:K83)</f>
        <v>24431.759999999998</v>
      </c>
      <c r="L81" s="394"/>
    </row>
    <row r="82" spans="1:13" s="91" customFormat="1" outlineLevel="1" x14ac:dyDescent="0.25">
      <c r="A82" s="260"/>
      <c r="B82" s="261" t="s">
        <v>555</v>
      </c>
      <c r="C82" s="252">
        <v>5835575.4699999997</v>
      </c>
      <c r="D82" s="316">
        <f>E82+F82+G82</f>
        <v>5835575.4699999997</v>
      </c>
      <c r="E82" s="250">
        <v>4540923.18</v>
      </c>
      <c r="F82" s="250">
        <v>291778.77999999997</v>
      </c>
      <c r="G82" s="251">
        <v>1002873.51</v>
      </c>
      <c r="H82" s="249">
        <f t="shared" si="16"/>
        <v>0</v>
      </c>
      <c r="I82" s="250"/>
      <c r="J82" s="250"/>
      <c r="K82" s="251"/>
      <c r="L82" s="262" t="s">
        <v>857</v>
      </c>
      <c r="M82" s="597">
        <v>42656</v>
      </c>
    </row>
    <row r="83" spans="1:13" s="91" customFormat="1" outlineLevel="1" x14ac:dyDescent="0.25">
      <c r="A83" s="260"/>
      <c r="B83" s="261" t="s">
        <v>67</v>
      </c>
      <c r="C83" s="252">
        <v>113954.09</v>
      </c>
      <c r="D83" s="316">
        <f>E83+F83+G83</f>
        <v>113954.09</v>
      </c>
      <c r="E83" s="250">
        <f>C83*0.7356</f>
        <v>83824.628603999998</v>
      </c>
      <c r="F83" s="250">
        <f>C83*0.05</f>
        <v>5697.7044999999998</v>
      </c>
      <c r="G83" s="251">
        <f>C83-E83-F83</f>
        <v>24431.756895999999</v>
      </c>
      <c r="H83" s="249">
        <f t="shared" si="16"/>
        <v>113954.09</v>
      </c>
      <c r="I83" s="250">
        <v>83824.63</v>
      </c>
      <c r="J83" s="250">
        <v>5697.7</v>
      </c>
      <c r="K83" s="251">
        <v>24431.759999999998</v>
      </c>
      <c r="L83" s="262" t="s">
        <v>620</v>
      </c>
    </row>
    <row r="84" spans="1:13" s="9" customFormat="1" ht="19.5" customHeight="1" x14ac:dyDescent="0.2">
      <c r="A84" s="140">
        <v>16</v>
      </c>
      <c r="B84" s="60" t="s">
        <v>241</v>
      </c>
      <c r="C84" s="63">
        <f>SUM(C85:C87)</f>
        <v>112525.9</v>
      </c>
      <c r="D84" s="13">
        <f>E84+F84+G84</f>
        <v>112525.9</v>
      </c>
      <c r="E84" s="75">
        <f>SUM(E85:E87)</f>
        <v>82774.052039999995</v>
      </c>
      <c r="F84" s="75">
        <f>SUM(F85:F87)</f>
        <v>5626.2950000000001</v>
      </c>
      <c r="G84" s="80">
        <f>SUM(G85:G87)</f>
        <v>24125.552960000001</v>
      </c>
      <c r="H84" s="40">
        <f t="shared" si="16"/>
        <v>112525.90000000001</v>
      </c>
      <c r="I84" s="75">
        <f>SUM(I85:I87)</f>
        <v>82774.05</v>
      </c>
      <c r="J84" s="75">
        <f>SUM(J85:J87)</f>
        <v>5626.3</v>
      </c>
      <c r="K84" s="80">
        <f>SUM(K85:K87)</f>
        <v>24125.55</v>
      </c>
      <c r="L84" s="79"/>
    </row>
    <row r="85" spans="1:13" outlineLevel="1" x14ac:dyDescent="0.25">
      <c r="A85" s="10"/>
      <c r="B85" s="43" t="s">
        <v>555</v>
      </c>
      <c r="C85" s="47"/>
      <c r="D85" s="53"/>
      <c r="E85" s="72"/>
      <c r="F85" s="72"/>
      <c r="G85" s="92"/>
      <c r="H85" s="42">
        <f t="shared" si="16"/>
        <v>0</v>
      </c>
      <c r="I85" s="72"/>
      <c r="J85" s="72"/>
      <c r="K85" s="92"/>
      <c r="L85" s="57"/>
    </row>
    <row r="86" spans="1:13" outlineLevel="1" x14ac:dyDescent="0.25">
      <c r="A86" s="10"/>
      <c r="B86" s="43" t="s">
        <v>554</v>
      </c>
      <c r="C86" s="47"/>
      <c r="D86" s="53"/>
      <c r="E86" s="72"/>
      <c r="F86" s="72"/>
      <c r="G86" s="92"/>
      <c r="H86" s="42">
        <f t="shared" si="16"/>
        <v>0</v>
      </c>
      <c r="I86" s="72"/>
      <c r="J86" s="72"/>
      <c r="K86" s="92"/>
      <c r="L86" s="57"/>
    </row>
    <row r="87" spans="1:13" s="91" customFormat="1" outlineLevel="1" x14ac:dyDescent="0.25">
      <c r="A87" s="260"/>
      <c r="B87" s="261" t="s">
        <v>67</v>
      </c>
      <c r="C87" s="252">
        <v>112525.9</v>
      </c>
      <c r="D87" s="316">
        <f>E87+F87+G87</f>
        <v>112525.9</v>
      </c>
      <c r="E87" s="250">
        <f>C87*0.7356</f>
        <v>82774.052039999995</v>
      </c>
      <c r="F87" s="250">
        <f>C87*0.05</f>
        <v>5626.2950000000001</v>
      </c>
      <c r="G87" s="251">
        <f>C87-E87-F87</f>
        <v>24125.552960000001</v>
      </c>
      <c r="H87" s="249">
        <f t="shared" si="16"/>
        <v>112525.90000000001</v>
      </c>
      <c r="I87" s="250">
        <v>82774.05</v>
      </c>
      <c r="J87" s="250">
        <v>5626.3</v>
      </c>
      <c r="K87" s="251">
        <v>24125.55</v>
      </c>
      <c r="L87" s="262" t="s">
        <v>620</v>
      </c>
    </row>
    <row r="88" spans="1:13" s="395" customFormat="1" ht="21" customHeight="1" x14ac:dyDescent="0.2">
      <c r="A88" s="391">
        <v>17</v>
      </c>
      <c r="B88" s="392" t="s">
        <v>246</v>
      </c>
      <c r="C88" s="290">
        <f>SUM(C89:C90)</f>
        <v>4041319.7600000002</v>
      </c>
      <c r="D88" s="393">
        <f>E88+F88+G88</f>
        <v>4041319.7600000002</v>
      </c>
      <c r="E88" s="289">
        <f>SUM(E89:E90)</f>
        <v>3141439.091184</v>
      </c>
      <c r="F88" s="289">
        <f>SUM(F89:F90)</f>
        <v>202065.992</v>
      </c>
      <c r="G88" s="247">
        <f>SUM(G89:G90)</f>
        <v>697814.67681600014</v>
      </c>
      <c r="H88" s="288">
        <f t="shared" si="16"/>
        <v>95684.639999999985</v>
      </c>
      <c r="I88" s="289">
        <f>SUM(I89:I90)</f>
        <v>70385.62</v>
      </c>
      <c r="J88" s="289">
        <f>SUM(J89:J90)</f>
        <v>4784.2299999999996</v>
      </c>
      <c r="K88" s="247">
        <f>SUM(K89:K90)</f>
        <v>20514.79</v>
      </c>
      <c r="L88" s="394"/>
    </row>
    <row r="89" spans="1:13" s="91" customFormat="1" outlineLevel="1" x14ac:dyDescent="0.25">
      <c r="A89" s="260"/>
      <c r="B89" s="261" t="s">
        <v>555</v>
      </c>
      <c r="C89" s="252">
        <v>3945635.12</v>
      </c>
      <c r="D89" s="316">
        <f t="shared" ref="D89:D96" si="17">E89+F89+G89</f>
        <v>3945635.1200000006</v>
      </c>
      <c r="E89" s="250">
        <v>3071053.47</v>
      </c>
      <c r="F89" s="250">
        <v>197281.76</v>
      </c>
      <c r="G89" s="251">
        <v>677299.89000000013</v>
      </c>
      <c r="H89" s="249">
        <f t="shared" si="16"/>
        <v>0</v>
      </c>
      <c r="I89" s="250"/>
      <c r="J89" s="250"/>
      <c r="K89" s="251"/>
      <c r="L89" s="262" t="s">
        <v>857</v>
      </c>
      <c r="M89" s="597">
        <v>42656</v>
      </c>
    </row>
    <row r="90" spans="1:13" s="91" customFormat="1" outlineLevel="1" x14ac:dyDescent="0.25">
      <c r="A90" s="260"/>
      <c r="B90" s="261" t="s">
        <v>67</v>
      </c>
      <c r="C90" s="252">
        <v>95684.64</v>
      </c>
      <c r="D90" s="316">
        <f t="shared" si="17"/>
        <v>95684.64</v>
      </c>
      <c r="E90" s="250">
        <f>C90*0.7356</f>
        <v>70385.621184000003</v>
      </c>
      <c r="F90" s="250">
        <f>C90*0.05</f>
        <v>4784.232</v>
      </c>
      <c r="G90" s="251">
        <f>C90-E90-F90</f>
        <v>20514.786815999996</v>
      </c>
      <c r="H90" s="249">
        <f t="shared" si="16"/>
        <v>95684.639999999985</v>
      </c>
      <c r="I90" s="250">
        <v>70385.62</v>
      </c>
      <c r="J90" s="250">
        <v>4784.2299999999996</v>
      </c>
      <c r="K90" s="251">
        <v>20514.79</v>
      </c>
      <c r="L90" s="262" t="s">
        <v>620</v>
      </c>
    </row>
    <row r="91" spans="1:13" s="395" customFormat="1" ht="24.75" customHeight="1" x14ac:dyDescent="0.2">
      <c r="A91" s="391">
        <v>18</v>
      </c>
      <c r="B91" s="392" t="s">
        <v>227</v>
      </c>
      <c r="C91" s="290">
        <f>SUM(C92:C92)</f>
        <v>5994434.9000000004</v>
      </c>
      <c r="D91" s="393">
        <f t="shared" si="17"/>
        <v>5994434.9000000004</v>
      </c>
      <c r="E91" s="289">
        <f>SUM(E92:E92)</f>
        <v>5017641.7330449997</v>
      </c>
      <c r="F91" s="289">
        <f>SUM(F92:F92)</f>
        <v>299721.74500000005</v>
      </c>
      <c r="G91" s="247">
        <f>SUM(G92:G92)</f>
        <v>677071.42195500061</v>
      </c>
      <c r="H91" s="288">
        <f t="shared" si="16"/>
        <v>5994434.9000000004</v>
      </c>
      <c r="I91" s="289">
        <f>SUM(I92:I92)</f>
        <v>5017641.7300000004</v>
      </c>
      <c r="J91" s="289">
        <f>SUM(J92:J92)</f>
        <v>299721.74</v>
      </c>
      <c r="K91" s="247">
        <f>SUM(K92:K92)</f>
        <v>677071.43</v>
      </c>
      <c r="L91" s="394"/>
    </row>
    <row r="92" spans="1:13" s="91" customFormat="1" outlineLevel="1" x14ac:dyDescent="0.25">
      <c r="A92" s="260"/>
      <c r="B92" s="261" t="s">
        <v>555</v>
      </c>
      <c r="C92" s="252">
        <v>5994434.9000000004</v>
      </c>
      <c r="D92" s="316">
        <f t="shared" si="17"/>
        <v>5994434.9000000004</v>
      </c>
      <c r="E92" s="250">
        <f>C92*0.83705</f>
        <v>5017641.7330449997</v>
      </c>
      <c r="F92" s="250">
        <f>C92*0.05</f>
        <v>299721.74500000005</v>
      </c>
      <c r="G92" s="251">
        <f>C92-E92-F92</f>
        <v>677071.42195500061</v>
      </c>
      <c r="H92" s="249">
        <f t="shared" si="16"/>
        <v>5994434.9000000004</v>
      </c>
      <c r="I92" s="250">
        <v>5017641.7300000004</v>
      </c>
      <c r="J92" s="250">
        <v>299721.74</v>
      </c>
      <c r="K92" s="251">
        <v>677071.43</v>
      </c>
      <c r="L92" s="262" t="s">
        <v>757</v>
      </c>
    </row>
    <row r="93" spans="1:13" s="395" customFormat="1" ht="23.25" customHeight="1" x14ac:dyDescent="0.2">
      <c r="A93" s="391">
        <v>19</v>
      </c>
      <c r="B93" s="392" t="s">
        <v>243</v>
      </c>
      <c r="C93" s="290">
        <f>SUM(C94:C95)</f>
        <v>3924771.07</v>
      </c>
      <c r="D93" s="393">
        <f t="shared" si="17"/>
        <v>3924771.0699999994</v>
      </c>
      <c r="E93" s="289">
        <f>SUM(E94:E95)</f>
        <v>3285190.3743247995</v>
      </c>
      <c r="F93" s="289">
        <f>SUM(F94:F95)</f>
        <v>196238.557</v>
      </c>
      <c r="G93" s="247">
        <f>SUM(G94:G95)</f>
        <v>443342.13867520005</v>
      </c>
      <c r="H93" s="288">
        <f t="shared" si="16"/>
        <v>3924771.0700000003</v>
      </c>
      <c r="I93" s="289">
        <f>SUM(I94:I95)</f>
        <v>3285190.3800000004</v>
      </c>
      <c r="J93" s="289">
        <f>SUM(J94:J95)</f>
        <v>196238.55000000002</v>
      </c>
      <c r="K93" s="247">
        <f>SUM(K94:K95)</f>
        <v>443342.13999999996</v>
      </c>
      <c r="L93" s="394"/>
    </row>
    <row r="94" spans="1:13" s="91" customFormat="1" outlineLevel="1" x14ac:dyDescent="0.25">
      <c r="A94" s="260"/>
      <c r="B94" s="261" t="s">
        <v>555</v>
      </c>
      <c r="C94" s="252">
        <v>3812177</v>
      </c>
      <c r="D94" s="316">
        <f t="shared" si="17"/>
        <v>3812177</v>
      </c>
      <c r="E94" s="250">
        <v>3202366.1764327995</v>
      </c>
      <c r="F94" s="250">
        <v>190608.8535</v>
      </c>
      <c r="G94" s="251">
        <v>419201.97006720008</v>
      </c>
      <c r="H94" s="249">
        <f t="shared" si="16"/>
        <v>3812177</v>
      </c>
      <c r="I94" s="250">
        <v>3202366.18</v>
      </c>
      <c r="J94" s="250">
        <v>190608.85</v>
      </c>
      <c r="K94" s="251">
        <v>419201.97</v>
      </c>
      <c r="L94" s="262" t="s">
        <v>773</v>
      </c>
      <c r="M94" s="597">
        <v>42592</v>
      </c>
    </row>
    <row r="95" spans="1:13" s="91" customFormat="1" outlineLevel="1" x14ac:dyDescent="0.25">
      <c r="A95" s="260"/>
      <c r="B95" s="261" t="s">
        <v>67</v>
      </c>
      <c r="C95" s="252">
        <v>112594.07</v>
      </c>
      <c r="D95" s="316">
        <f t="shared" si="17"/>
        <v>112594.07</v>
      </c>
      <c r="E95" s="250">
        <f>C95*0.7356</f>
        <v>82824.197892000011</v>
      </c>
      <c r="F95" s="250">
        <f>C95*0.05</f>
        <v>5629.7035000000005</v>
      </c>
      <c r="G95" s="251">
        <f>C95-E95-F95</f>
        <v>24140.168607999996</v>
      </c>
      <c r="H95" s="249">
        <f t="shared" si="16"/>
        <v>112594.06999999999</v>
      </c>
      <c r="I95" s="250">
        <v>82824.2</v>
      </c>
      <c r="J95" s="250">
        <v>5629.7</v>
      </c>
      <c r="K95" s="251">
        <v>24140.17</v>
      </c>
      <c r="L95" s="262" t="s">
        <v>620</v>
      </c>
    </row>
    <row r="96" spans="1:13" s="9" customFormat="1" ht="22.5" customHeight="1" x14ac:dyDescent="0.2">
      <c r="A96" s="140">
        <v>20</v>
      </c>
      <c r="B96" s="60" t="s">
        <v>240</v>
      </c>
      <c r="C96" s="63">
        <f>SUM(C97:C99)</f>
        <v>100412.28</v>
      </c>
      <c r="D96" s="13">
        <f t="shared" si="17"/>
        <v>100412.28</v>
      </c>
      <c r="E96" s="75">
        <f>SUM(E97:E99)</f>
        <v>73863.273168</v>
      </c>
      <c r="F96" s="75">
        <f>SUM(F97:F99)</f>
        <v>5020.6140000000005</v>
      </c>
      <c r="G96" s="80">
        <f>SUM(G97:G99)</f>
        <v>21528.392831999998</v>
      </c>
      <c r="H96" s="40">
        <f t="shared" si="16"/>
        <v>100412.28</v>
      </c>
      <c r="I96" s="75">
        <f>SUM(I97:I99)</f>
        <v>73863.28</v>
      </c>
      <c r="J96" s="75">
        <f>SUM(J97:J99)</f>
        <v>5020.6099999999997</v>
      </c>
      <c r="K96" s="80">
        <f>SUM(K97:K99)</f>
        <v>21528.39</v>
      </c>
      <c r="L96" s="79"/>
    </row>
    <row r="97" spans="1:13" outlineLevel="1" x14ac:dyDescent="0.25">
      <c r="A97" s="10"/>
      <c r="B97" s="43" t="s">
        <v>555</v>
      </c>
      <c r="C97" s="47"/>
      <c r="D97" s="53"/>
      <c r="E97" s="72"/>
      <c r="F97" s="72"/>
      <c r="G97" s="92"/>
      <c r="H97" s="42">
        <f t="shared" si="16"/>
        <v>0</v>
      </c>
      <c r="I97" s="72"/>
      <c r="J97" s="72"/>
      <c r="K97" s="92"/>
      <c r="L97" s="57"/>
    </row>
    <row r="98" spans="1:13" outlineLevel="1" x14ac:dyDescent="0.25">
      <c r="A98" s="10"/>
      <c r="B98" s="43" t="s">
        <v>554</v>
      </c>
      <c r="C98" s="47"/>
      <c r="D98" s="53"/>
      <c r="E98" s="72"/>
      <c r="F98" s="72"/>
      <c r="G98" s="92"/>
      <c r="H98" s="42">
        <f t="shared" si="16"/>
        <v>0</v>
      </c>
      <c r="I98" s="72"/>
      <c r="J98" s="72"/>
      <c r="K98" s="92"/>
      <c r="L98" s="57"/>
    </row>
    <row r="99" spans="1:13" s="91" customFormat="1" outlineLevel="1" x14ac:dyDescent="0.25">
      <c r="A99" s="260"/>
      <c r="B99" s="261" t="s">
        <v>67</v>
      </c>
      <c r="C99" s="252">
        <v>100412.28</v>
      </c>
      <c r="D99" s="316">
        <f>E99+F99+G99</f>
        <v>100412.28</v>
      </c>
      <c r="E99" s="250">
        <f>C99*0.7356</f>
        <v>73863.273168</v>
      </c>
      <c r="F99" s="250">
        <f>C99*0.05</f>
        <v>5020.6140000000005</v>
      </c>
      <c r="G99" s="251">
        <f>C99-E99-F99</f>
        <v>21528.392831999998</v>
      </c>
      <c r="H99" s="249">
        <f t="shared" si="16"/>
        <v>100412.28</v>
      </c>
      <c r="I99" s="250">
        <v>73863.28</v>
      </c>
      <c r="J99" s="250">
        <v>5020.6099999999997</v>
      </c>
      <c r="K99" s="251">
        <v>21528.39</v>
      </c>
      <c r="L99" s="262" t="s">
        <v>620</v>
      </c>
    </row>
    <row r="100" spans="1:13" s="9" customFormat="1" ht="15" customHeight="1" x14ac:dyDescent="0.2">
      <c r="A100" s="140">
        <v>21</v>
      </c>
      <c r="B100" s="60" t="s">
        <v>46</v>
      </c>
      <c r="C100" s="63">
        <f>SUM(C101:C103)</f>
        <v>90987.92</v>
      </c>
      <c r="D100" s="13">
        <f>E100+F100+G100</f>
        <v>90987.919999999984</v>
      </c>
      <c r="E100" s="75">
        <f>SUM(E101:E103)</f>
        <v>66930.713952000006</v>
      </c>
      <c r="F100" s="75">
        <f>SUM(F101:F103)</f>
        <v>4549.3959999999997</v>
      </c>
      <c r="G100" s="80">
        <f>SUM(G101:G103)</f>
        <v>19507.810047999992</v>
      </c>
      <c r="H100" s="40">
        <f t="shared" si="16"/>
        <v>90987.92</v>
      </c>
      <c r="I100" s="75">
        <f>SUM(I101:I103)</f>
        <v>66930.710000000006</v>
      </c>
      <c r="J100" s="75">
        <f>SUM(J101:J103)</f>
        <v>4549.3999999999996</v>
      </c>
      <c r="K100" s="80">
        <f>SUM(K101:K103)</f>
        <v>19507.810000000001</v>
      </c>
      <c r="L100" s="79"/>
    </row>
    <row r="101" spans="1:13" outlineLevel="1" x14ac:dyDescent="0.25">
      <c r="A101" s="10"/>
      <c r="B101" s="43" t="s">
        <v>555</v>
      </c>
      <c r="C101" s="47"/>
      <c r="D101" s="53"/>
      <c r="E101" s="72"/>
      <c r="F101" s="72"/>
      <c r="G101" s="92"/>
      <c r="H101" s="42">
        <f t="shared" si="16"/>
        <v>0</v>
      </c>
      <c r="I101" s="72"/>
      <c r="J101" s="72"/>
      <c r="K101" s="92"/>
      <c r="L101" s="57"/>
    </row>
    <row r="102" spans="1:13" outlineLevel="1" x14ac:dyDescent="0.25">
      <c r="A102" s="10"/>
      <c r="B102" s="43" t="s">
        <v>554</v>
      </c>
      <c r="C102" s="47"/>
      <c r="D102" s="53"/>
      <c r="E102" s="72"/>
      <c r="F102" s="72"/>
      <c r="G102" s="92"/>
      <c r="H102" s="42">
        <f t="shared" si="16"/>
        <v>0</v>
      </c>
      <c r="I102" s="72"/>
      <c r="J102" s="72"/>
      <c r="K102" s="92"/>
      <c r="L102" s="57"/>
    </row>
    <row r="103" spans="1:13" s="91" customFormat="1" outlineLevel="1" x14ac:dyDescent="0.25">
      <c r="A103" s="260"/>
      <c r="B103" s="261" t="s">
        <v>67</v>
      </c>
      <c r="C103" s="252">
        <v>90987.92</v>
      </c>
      <c r="D103" s="316">
        <f>E103+F103+G103</f>
        <v>90987.919999999984</v>
      </c>
      <c r="E103" s="250">
        <f>C103*0.7356</f>
        <v>66930.713952000006</v>
      </c>
      <c r="F103" s="250">
        <f>C103*0.05</f>
        <v>4549.3959999999997</v>
      </c>
      <c r="G103" s="251">
        <f>C103-E103-F103</f>
        <v>19507.810047999992</v>
      </c>
      <c r="H103" s="249">
        <f t="shared" si="16"/>
        <v>90987.92</v>
      </c>
      <c r="I103" s="250">
        <v>66930.710000000006</v>
      </c>
      <c r="J103" s="250">
        <v>4549.3999999999996</v>
      </c>
      <c r="K103" s="251">
        <v>19507.810000000001</v>
      </c>
      <c r="L103" s="262" t="s">
        <v>620</v>
      </c>
    </row>
    <row r="104" spans="1:13" s="9" customFormat="1" ht="19.5" customHeight="1" x14ac:dyDescent="0.2">
      <c r="A104" s="140">
        <v>22</v>
      </c>
      <c r="B104" s="60" t="s">
        <v>228</v>
      </c>
      <c r="C104" s="63">
        <f>SUM(C105:C106)</f>
        <v>0</v>
      </c>
      <c r="D104" s="13">
        <f>E104+F104+G104</f>
        <v>0</v>
      </c>
      <c r="E104" s="75">
        <f>SUM(E105:E106)</f>
        <v>0</v>
      </c>
      <c r="F104" s="75">
        <f>SUM(F105:F106)</f>
        <v>0</v>
      </c>
      <c r="G104" s="80">
        <f>SUM(G105:G106)</f>
        <v>0</v>
      </c>
      <c r="H104" s="40">
        <f t="shared" si="16"/>
        <v>0</v>
      </c>
      <c r="I104" s="75">
        <f>SUM(I105:I106)</f>
        <v>0</v>
      </c>
      <c r="J104" s="75">
        <f>SUM(J105:J106)</f>
        <v>0</v>
      </c>
      <c r="K104" s="80">
        <f>SUM(K105:K106)</f>
        <v>0</v>
      </c>
      <c r="L104" s="79"/>
    </row>
    <row r="105" spans="1:13" outlineLevel="1" x14ac:dyDescent="0.25">
      <c r="A105" s="10"/>
      <c r="B105" s="43" t="s">
        <v>557</v>
      </c>
      <c r="C105" s="47"/>
      <c r="D105" s="53"/>
      <c r="E105" s="72"/>
      <c r="F105" s="72"/>
      <c r="G105" s="92"/>
      <c r="H105" s="42">
        <f t="shared" si="16"/>
        <v>0</v>
      </c>
      <c r="I105" s="72"/>
      <c r="J105" s="72"/>
      <c r="K105" s="92"/>
      <c r="L105" s="57"/>
    </row>
    <row r="106" spans="1:13" outlineLevel="1" x14ac:dyDescent="0.25">
      <c r="A106" s="10"/>
      <c r="B106" s="43" t="s">
        <v>554</v>
      </c>
      <c r="C106" s="47"/>
      <c r="D106" s="53"/>
      <c r="E106" s="72"/>
      <c r="F106" s="72"/>
      <c r="G106" s="92"/>
      <c r="H106" s="42">
        <f t="shared" si="16"/>
        <v>0</v>
      </c>
      <c r="I106" s="72"/>
      <c r="J106" s="72"/>
      <c r="K106" s="92"/>
      <c r="L106" s="57"/>
    </row>
    <row r="107" spans="1:13" s="395" customFormat="1" ht="31.5" customHeight="1" x14ac:dyDescent="0.2">
      <c r="A107" s="391">
        <v>23</v>
      </c>
      <c r="B107" s="392" t="s">
        <v>229</v>
      </c>
      <c r="C107" s="290">
        <f>SUM(C108:C116)</f>
        <v>12786055.33</v>
      </c>
      <c r="D107" s="393">
        <f t="shared" ref="D107:D114" si="18">E107+F107+G107</f>
        <v>12786055.33</v>
      </c>
      <c r="E107" s="289">
        <f>SUM(E108:E116)</f>
        <v>9832721.2324914467</v>
      </c>
      <c r="F107" s="289">
        <f>SUM(F108:F116)</f>
        <v>639403.65316055331</v>
      </c>
      <c r="G107" s="247">
        <f>SUM(G108:G116)</f>
        <v>2313930.4443479995</v>
      </c>
      <c r="H107" s="288">
        <f t="shared" si="16"/>
        <v>12786055.329999998</v>
      </c>
      <c r="I107" s="289">
        <f>SUM(I108:I116)</f>
        <v>10191330.339999998</v>
      </c>
      <c r="J107" s="289">
        <f>SUM(J108:J116)</f>
        <v>639403.66</v>
      </c>
      <c r="K107" s="247">
        <f>SUM(K108:K116)</f>
        <v>1955321.33</v>
      </c>
      <c r="L107" s="394"/>
    </row>
    <row r="108" spans="1:13" s="91" customFormat="1" outlineLevel="1" x14ac:dyDescent="0.25">
      <c r="A108" s="260"/>
      <c r="B108" s="261" t="s">
        <v>68</v>
      </c>
      <c r="C108" s="252">
        <v>480778</v>
      </c>
      <c r="D108" s="316">
        <f t="shared" si="18"/>
        <v>480778</v>
      </c>
      <c r="E108" s="250">
        <f>C108-F108</f>
        <v>456739.1</v>
      </c>
      <c r="F108" s="250">
        <f>C108*0.05</f>
        <v>24038.9</v>
      </c>
      <c r="G108" s="251">
        <v>0</v>
      </c>
      <c r="H108" s="249">
        <f t="shared" si="16"/>
        <v>480778</v>
      </c>
      <c r="I108" s="250">
        <v>456739.09</v>
      </c>
      <c r="J108" s="250">
        <v>24038.91</v>
      </c>
      <c r="K108" s="251">
        <v>0</v>
      </c>
      <c r="L108" s="262" t="s">
        <v>813</v>
      </c>
    </row>
    <row r="109" spans="1:13" s="91" customFormat="1" outlineLevel="1" x14ac:dyDescent="0.25">
      <c r="A109" s="260"/>
      <c r="B109" s="261" t="s">
        <v>64</v>
      </c>
      <c r="C109" s="252">
        <v>2411728.0399999996</v>
      </c>
      <c r="D109" s="316">
        <f t="shared" si="18"/>
        <v>2411728.0399999996</v>
      </c>
      <c r="E109" s="250">
        <f>C109*0.8041</f>
        <v>1939270.5169639997</v>
      </c>
      <c r="F109" s="250">
        <f>C109*5%</f>
        <v>120586.40199999999</v>
      </c>
      <c r="G109" s="251">
        <f t="shared" ref="G109:G114" si="19">C109-E109-F109</f>
        <v>351871.12103599985</v>
      </c>
      <c r="H109" s="249">
        <f t="shared" si="16"/>
        <v>2411728.04</v>
      </c>
      <c r="I109" s="250">
        <v>2291141.64</v>
      </c>
      <c r="J109" s="250">
        <v>120586.4</v>
      </c>
      <c r="K109" s="251">
        <v>0</v>
      </c>
      <c r="L109" s="262" t="s">
        <v>631</v>
      </c>
    </row>
    <row r="110" spans="1:13" s="91" customFormat="1" outlineLevel="1" x14ac:dyDescent="0.25">
      <c r="A110" s="260"/>
      <c r="B110" s="261" t="s">
        <v>65</v>
      </c>
      <c r="C110" s="252">
        <f>239453.47+4630.77</f>
        <v>244084.24</v>
      </c>
      <c r="D110" s="316">
        <f t="shared" si="18"/>
        <v>244084.24</v>
      </c>
      <c r="E110" s="250">
        <f>C110*0.7356</f>
        <v>179548.36694400001</v>
      </c>
      <c r="F110" s="250">
        <f>C110*5%</f>
        <v>12204.212</v>
      </c>
      <c r="G110" s="251">
        <f t="shared" si="19"/>
        <v>52331.661055999983</v>
      </c>
      <c r="H110" s="249">
        <f t="shared" si="16"/>
        <v>244084.24</v>
      </c>
      <c r="I110" s="250">
        <v>182656.63</v>
      </c>
      <c r="J110" s="250">
        <v>12204.21</v>
      </c>
      <c r="K110" s="251">
        <v>49223.4</v>
      </c>
      <c r="L110" s="262" t="s">
        <v>631</v>
      </c>
    </row>
    <row r="111" spans="1:13" s="91" customFormat="1" outlineLevel="1" x14ac:dyDescent="0.25">
      <c r="A111" s="260"/>
      <c r="B111" s="261" t="s">
        <v>66</v>
      </c>
      <c r="C111" s="252">
        <f>252629.37+4028.56+28376.53</f>
        <v>285034.45999999996</v>
      </c>
      <c r="D111" s="316">
        <f t="shared" si="18"/>
        <v>285034.45999999996</v>
      </c>
      <c r="E111" s="250">
        <f>C111*0.7356</f>
        <v>209671.34877599997</v>
      </c>
      <c r="F111" s="250">
        <f>C111*5%</f>
        <v>14251.722999999998</v>
      </c>
      <c r="G111" s="251">
        <f t="shared" si="19"/>
        <v>61111.388223999995</v>
      </c>
      <c r="H111" s="249">
        <f t="shared" si="16"/>
        <v>285034.46000000002</v>
      </c>
      <c r="I111" s="250">
        <v>213301.08</v>
      </c>
      <c r="J111" s="250">
        <v>14251.73</v>
      </c>
      <c r="K111" s="251">
        <v>57481.65</v>
      </c>
      <c r="L111" s="262" t="s">
        <v>631</v>
      </c>
    </row>
    <row r="112" spans="1:13" s="91" customFormat="1" outlineLevel="1" x14ac:dyDescent="0.25">
      <c r="A112" s="260"/>
      <c r="B112" s="261" t="s">
        <v>571</v>
      </c>
      <c r="C112" s="252">
        <v>740323.74</v>
      </c>
      <c r="D112" s="316">
        <f t="shared" si="18"/>
        <v>740323.74</v>
      </c>
      <c r="E112" s="250">
        <v>703307.55</v>
      </c>
      <c r="F112" s="250">
        <v>37016.19</v>
      </c>
      <c r="G112" s="251">
        <f t="shared" si="19"/>
        <v>-5.8207660913467407E-11</v>
      </c>
      <c r="H112" s="249">
        <f t="shared" si="16"/>
        <v>740323.74</v>
      </c>
      <c r="I112" s="250">
        <v>703307.55</v>
      </c>
      <c r="J112" s="250">
        <v>37016.19</v>
      </c>
      <c r="K112" s="251">
        <v>0</v>
      </c>
      <c r="L112" s="262" t="s">
        <v>761</v>
      </c>
      <c r="M112" s="597">
        <v>42551</v>
      </c>
    </row>
    <row r="113" spans="1:13" s="91" customFormat="1" outlineLevel="1" x14ac:dyDescent="0.25">
      <c r="A113" s="260"/>
      <c r="B113" s="261" t="s">
        <v>555</v>
      </c>
      <c r="C113" s="252">
        <v>3813873.95</v>
      </c>
      <c r="D113" s="316">
        <f t="shared" si="18"/>
        <v>3813873.95</v>
      </c>
      <c r="E113" s="250">
        <f>C113*0.7356</f>
        <v>2805485.6776200002</v>
      </c>
      <c r="F113" s="250">
        <f>C113*0.05</f>
        <v>190693.69750000001</v>
      </c>
      <c r="G113" s="251">
        <f t="shared" si="19"/>
        <v>817694.57487999997</v>
      </c>
      <c r="H113" s="249">
        <f t="shared" si="16"/>
        <v>3813873.95</v>
      </c>
      <c r="I113" s="250">
        <v>2805485.68</v>
      </c>
      <c r="J113" s="250">
        <v>190693.7</v>
      </c>
      <c r="K113" s="251">
        <v>817694.57</v>
      </c>
      <c r="L113" s="262" t="s">
        <v>690</v>
      </c>
    </row>
    <row r="114" spans="1:13" s="91" customFormat="1" outlineLevel="1" x14ac:dyDescent="0.25">
      <c r="A114" s="260"/>
      <c r="B114" s="261" t="s">
        <v>557</v>
      </c>
      <c r="C114" s="252">
        <v>4683392.96</v>
      </c>
      <c r="D114" s="316">
        <f t="shared" si="18"/>
        <v>4683392.96</v>
      </c>
      <c r="E114" s="250">
        <f>C114*0.7356</f>
        <v>3445103.8613760001</v>
      </c>
      <c r="F114" s="250">
        <f>C114*0.05</f>
        <v>234169.64800000002</v>
      </c>
      <c r="G114" s="251">
        <f t="shared" si="19"/>
        <v>1004119.4506239998</v>
      </c>
      <c r="H114" s="249">
        <f t="shared" si="16"/>
        <v>4683392.96</v>
      </c>
      <c r="I114" s="250">
        <v>3445103.86</v>
      </c>
      <c r="J114" s="250">
        <v>234169.64</v>
      </c>
      <c r="K114" s="251">
        <v>1004119.46</v>
      </c>
      <c r="L114" s="262" t="s">
        <v>690</v>
      </c>
    </row>
    <row r="115" spans="1:13" s="91" customFormat="1" outlineLevel="1" x14ac:dyDescent="0.25">
      <c r="A115" s="260"/>
      <c r="B115" s="261" t="s">
        <v>554</v>
      </c>
      <c r="C115" s="252">
        <v>33256.67</v>
      </c>
      <c r="D115" s="316">
        <f>E115+F115+G115</f>
        <v>33256.67</v>
      </c>
      <c r="E115" s="250">
        <v>31492.952839446767</v>
      </c>
      <c r="F115" s="250">
        <v>1763.7171605532301</v>
      </c>
      <c r="G115" s="251">
        <v>0</v>
      </c>
      <c r="H115" s="249">
        <f t="shared" si="16"/>
        <v>33256.67</v>
      </c>
      <c r="I115" s="250">
        <v>31492.95</v>
      </c>
      <c r="J115" s="250">
        <v>1763.72</v>
      </c>
      <c r="K115" s="251">
        <v>0</v>
      </c>
      <c r="L115" s="262" t="s">
        <v>811</v>
      </c>
      <c r="M115" s="597">
        <v>42604</v>
      </c>
    </row>
    <row r="116" spans="1:13" s="91" customFormat="1" outlineLevel="1" x14ac:dyDescent="0.25">
      <c r="A116" s="260"/>
      <c r="B116" s="261" t="s">
        <v>67</v>
      </c>
      <c r="C116" s="252">
        <v>93583.27</v>
      </c>
      <c r="D116" s="249">
        <f>SUM(E116:G116)</f>
        <v>93583.26999999999</v>
      </c>
      <c r="E116" s="250">
        <f>C116*0.6636</f>
        <v>62101.857971999998</v>
      </c>
      <c r="F116" s="250">
        <f>C116*5%</f>
        <v>4679.1635000000006</v>
      </c>
      <c r="G116" s="251">
        <f>C116-E116-F116</f>
        <v>26802.248528000004</v>
      </c>
      <c r="H116" s="249">
        <f t="shared" si="16"/>
        <v>93583.27</v>
      </c>
      <c r="I116" s="250">
        <v>62101.86</v>
      </c>
      <c r="J116" s="250">
        <v>4679.16</v>
      </c>
      <c r="K116" s="251">
        <v>26802.25</v>
      </c>
      <c r="L116" s="262" t="s">
        <v>620</v>
      </c>
    </row>
    <row r="117" spans="1:13" s="395" customFormat="1" ht="23.25" customHeight="1" x14ac:dyDescent="0.2">
      <c r="A117" s="391">
        <v>24</v>
      </c>
      <c r="B117" s="392" t="s">
        <v>230</v>
      </c>
      <c r="C117" s="290">
        <f>SUM(C118:C126)</f>
        <v>14756350.040000001</v>
      </c>
      <c r="D117" s="393">
        <f t="shared" ref="D117:D124" si="20">E117+F117+G117</f>
        <v>14756350.040000003</v>
      </c>
      <c r="E117" s="289">
        <f>SUM(E118:E126)</f>
        <v>11423838.566099843</v>
      </c>
      <c r="F117" s="289">
        <f>SUM(F118:F126)</f>
        <v>738042.55384816055</v>
      </c>
      <c r="G117" s="247">
        <f>SUM(G118:G126)</f>
        <v>2594468.9200519994</v>
      </c>
      <c r="H117" s="288">
        <f t="shared" si="16"/>
        <v>14756350.040000001</v>
      </c>
      <c r="I117" s="289">
        <f>SUM(I118:I126)</f>
        <v>12037334.200000001</v>
      </c>
      <c r="J117" s="289">
        <f>SUM(J118:J126)</f>
        <v>738042.56</v>
      </c>
      <c r="K117" s="247">
        <f>SUM(K118:K126)</f>
        <v>1980973.28</v>
      </c>
      <c r="L117" s="394"/>
    </row>
    <row r="118" spans="1:13" s="91" customFormat="1" outlineLevel="1" x14ac:dyDescent="0.25">
      <c r="A118" s="260"/>
      <c r="B118" s="261" t="s">
        <v>68</v>
      </c>
      <c r="C118" s="252">
        <v>491897.58999999997</v>
      </c>
      <c r="D118" s="316">
        <f t="shared" si="20"/>
        <v>491897.58999999997</v>
      </c>
      <c r="E118" s="250">
        <f>C118-F118</f>
        <v>467302.71049999999</v>
      </c>
      <c r="F118" s="250">
        <f>C118*0.05</f>
        <v>24594.879499999999</v>
      </c>
      <c r="G118" s="251">
        <v>0</v>
      </c>
      <c r="H118" s="316">
        <f t="shared" ref="H118" si="21">I118+J118+K118</f>
        <v>491897.59</v>
      </c>
      <c r="I118" s="250">
        <v>467302.71</v>
      </c>
      <c r="J118" s="250">
        <v>24594.880000000001</v>
      </c>
      <c r="K118" s="251"/>
      <c r="L118" s="262" t="s">
        <v>813</v>
      </c>
    </row>
    <row r="119" spans="1:13" s="91" customFormat="1" outlineLevel="1" x14ac:dyDescent="0.25">
      <c r="A119" s="260"/>
      <c r="B119" s="261" t="s">
        <v>64</v>
      </c>
      <c r="C119" s="252">
        <v>4464951.32</v>
      </c>
      <c r="D119" s="316">
        <f t="shared" si="20"/>
        <v>4464951.32</v>
      </c>
      <c r="E119" s="250">
        <f>C119*0.8041</f>
        <v>3590267.3564120005</v>
      </c>
      <c r="F119" s="250">
        <f>C119*5%</f>
        <v>223247.56600000002</v>
      </c>
      <c r="G119" s="251">
        <f t="shared" ref="G119:G124" si="22">C119-E119-F119</f>
        <v>651436.39758799982</v>
      </c>
      <c r="H119" s="249">
        <f t="shared" si="16"/>
        <v>4464951.32</v>
      </c>
      <c r="I119" s="250">
        <v>4197054.24</v>
      </c>
      <c r="J119" s="250">
        <v>223247.57</v>
      </c>
      <c r="K119" s="251">
        <v>44649.51</v>
      </c>
      <c r="L119" s="262" t="s">
        <v>631</v>
      </c>
    </row>
    <row r="120" spans="1:13" s="91" customFormat="1" outlineLevel="1" x14ac:dyDescent="0.25">
      <c r="A120" s="260"/>
      <c r="B120" s="261" t="s">
        <v>65</v>
      </c>
      <c r="C120" s="252">
        <v>310866.2</v>
      </c>
      <c r="D120" s="316">
        <f t="shared" si="20"/>
        <v>310866.2</v>
      </c>
      <c r="E120" s="250">
        <f>C120*0.7356</f>
        <v>228673.17672000002</v>
      </c>
      <c r="F120" s="250">
        <f>C120*5%</f>
        <v>15543.310000000001</v>
      </c>
      <c r="G120" s="251">
        <f t="shared" si="22"/>
        <v>66649.713279999996</v>
      </c>
      <c r="H120" s="249">
        <f t="shared" si="16"/>
        <v>310866.2</v>
      </c>
      <c r="I120" s="250">
        <v>232293.41</v>
      </c>
      <c r="J120" s="250">
        <v>15543.31</v>
      </c>
      <c r="K120" s="251">
        <v>63029.48</v>
      </c>
      <c r="L120" s="262" t="s">
        <v>631</v>
      </c>
    </row>
    <row r="121" spans="1:13" s="91" customFormat="1" outlineLevel="1" x14ac:dyDescent="0.25">
      <c r="A121" s="260"/>
      <c r="B121" s="261" t="s">
        <v>66</v>
      </c>
      <c r="C121" s="252">
        <f>260615.93+4592.26</f>
        <v>265208.19</v>
      </c>
      <c r="D121" s="316">
        <f t="shared" si="20"/>
        <v>265208.19</v>
      </c>
      <c r="E121" s="250">
        <f>C121*0.7356</f>
        <v>195087.14456400002</v>
      </c>
      <c r="F121" s="250">
        <f>C121*5%</f>
        <v>13260.409500000002</v>
      </c>
      <c r="G121" s="251">
        <f t="shared" si="22"/>
        <v>56860.635935999984</v>
      </c>
      <c r="H121" s="249">
        <f t="shared" si="16"/>
        <v>265208.19</v>
      </c>
      <c r="I121" s="250">
        <v>198175.66</v>
      </c>
      <c r="J121" s="250">
        <v>13260.41</v>
      </c>
      <c r="K121" s="251">
        <v>53772.12</v>
      </c>
      <c r="L121" s="262" t="s">
        <v>631</v>
      </c>
    </row>
    <row r="122" spans="1:13" s="91" customFormat="1" outlineLevel="1" x14ac:dyDescent="0.25">
      <c r="A122" s="260"/>
      <c r="B122" s="261" t="s">
        <v>571</v>
      </c>
      <c r="C122" s="252">
        <v>705088.94</v>
      </c>
      <c r="D122" s="316">
        <f t="shared" si="20"/>
        <v>705088.94</v>
      </c>
      <c r="E122" s="250">
        <v>669834.49</v>
      </c>
      <c r="F122" s="250">
        <v>35254.449999999997</v>
      </c>
      <c r="G122" s="251">
        <f t="shared" si="22"/>
        <v>0</v>
      </c>
      <c r="H122" s="249">
        <f t="shared" si="16"/>
        <v>705088.94</v>
      </c>
      <c r="I122" s="250">
        <v>669834.49</v>
      </c>
      <c r="J122" s="250">
        <v>35254.449999999997</v>
      </c>
      <c r="K122" s="251">
        <v>0</v>
      </c>
      <c r="L122" s="262" t="s">
        <v>761</v>
      </c>
      <c r="M122" s="597">
        <v>42551</v>
      </c>
    </row>
    <row r="123" spans="1:13" s="91" customFormat="1" outlineLevel="1" x14ac:dyDescent="0.25">
      <c r="A123" s="260"/>
      <c r="B123" s="261" t="s">
        <v>555</v>
      </c>
      <c r="C123" s="252">
        <v>3814345.8000000003</v>
      </c>
      <c r="D123" s="316">
        <f t="shared" si="20"/>
        <v>3814345.8000000003</v>
      </c>
      <c r="E123" s="250">
        <f>C123*0.7356</f>
        <v>2805832.7704800004</v>
      </c>
      <c r="F123" s="250">
        <f>C123*0.05</f>
        <v>190717.29000000004</v>
      </c>
      <c r="G123" s="251">
        <f t="shared" si="22"/>
        <v>817795.73951999983</v>
      </c>
      <c r="H123" s="249">
        <f t="shared" si="16"/>
        <v>3814345.8</v>
      </c>
      <c r="I123" s="250">
        <v>2805832.77</v>
      </c>
      <c r="J123" s="250">
        <v>190717.29</v>
      </c>
      <c r="K123" s="251">
        <v>817795.74</v>
      </c>
      <c r="L123" s="262" t="s">
        <v>690</v>
      </c>
    </row>
    <row r="124" spans="1:13" s="91" customFormat="1" outlineLevel="1" x14ac:dyDescent="0.25">
      <c r="A124" s="260"/>
      <c r="B124" s="261" t="s">
        <v>557</v>
      </c>
      <c r="C124" s="252">
        <v>4547763.53</v>
      </c>
      <c r="D124" s="316">
        <f t="shared" si="20"/>
        <v>4547763.53</v>
      </c>
      <c r="E124" s="250">
        <f>C124*0.7356</f>
        <v>3345334.8526680004</v>
      </c>
      <c r="F124" s="250">
        <f>C124*0.05</f>
        <v>227388.17650000003</v>
      </c>
      <c r="G124" s="251">
        <f t="shared" si="22"/>
        <v>975040.50083199982</v>
      </c>
      <c r="H124" s="249">
        <f t="shared" si="16"/>
        <v>4547763.5299999993</v>
      </c>
      <c r="I124" s="250">
        <v>3345334.86</v>
      </c>
      <c r="J124" s="250">
        <v>227388.17</v>
      </c>
      <c r="K124" s="251">
        <v>975040.5</v>
      </c>
      <c r="L124" s="262" t="s">
        <v>690</v>
      </c>
    </row>
    <row r="125" spans="1:13" s="91" customFormat="1" outlineLevel="1" x14ac:dyDescent="0.25">
      <c r="A125" s="260"/>
      <c r="B125" s="261" t="s">
        <v>554</v>
      </c>
      <c r="C125" s="252">
        <v>63051.33</v>
      </c>
      <c r="D125" s="316">
        <f>E125+F125+G125</f>
        <v>63051.33</v>
      </c>
      <c r="E125" s="250">
        <v>59673.714651839502</v>
      </c>
      <c r="F125" s="250">
        <v>3377.6153481605033</v>
      </c>
      <c r="G125" s="251">
        <v>0</v>
      </c>
      <c r="H125" s="249">
        <f t="shared" si="16"/>
        <v>63051.33</v>
      </c>
      <c r="I125" s="250">
        <v>59673.71</v>
      </c>
      <c r="J125" s="250">
        <v>3377.62</v>
      </c>
      <c r="K125" s="251">
        <v>0</v>
      </c>
      <c r="L125" s="262" t="s">
        <v>811</v>
      </c>
      <c r="M125" s="597">
        <v>42604</v>
      </c>
    </row>
    <row r="126" spans="1:13" s="91" customFormat="1" outlineLevel="1" x14ac:dyDescent="0.25">
      <c r="A126" s="260"/>
      <c r="B126" s="261" t="s">
        <v>67</v>
      </c>
      <c r="C126" s="252">
        <v>93177.14</v>
      </c>
      <c r="D126" s="249">
        <f>SUM(E126:G126)</f>
        <v>93177.14</v>
      </c>
      <c r="E126" s="250">
        <f>C126*0.6636</f>
        <v>61832.350103999997</v>
      </c>
      <c r="F126" s="250">
        <f>C126*5%</f>
        <v>4658.857</v>
      </c>
      <c r="G126" s="251">
        <f>C126-E126-F126</f>
        <v>26685.932896000002</v>
      </c>
      <c r="H126" s="249">
        <f t="shared" si="16"/>
        <v>93177.139999999985</v>
      </c>
      <c r="I126" s="250">
        <v>61832.35</v>
      </c>
      <c r="J126" s="250">
        <v>4658.8599999999997</v>
      </c>
      <c r="K126" s="251">
        <v>26685.93</v>
      </c>
      <c r="L126" s="262" t="s">
        <v>620</v>
      </c>
    </row>
    <row r="127" spans="1:13" s="395" customFormat="1" ht="24.75" customHeight="1" x14ac:dyDescent="0.2">
      <c r="A127" s="391">
        <v>25</v>
      </c>
      <c r="B127" s="392" t="s">
        <v>231</v>
      </c>
      <c r="C127" s="290">
        <f>SUM(C128:C136)</f>
        <v>14343827.180000002</v>
      </c>
      <c r="D127" s="393">
        <f>E127+F127+G127</f>
        <v>14343827.18</v>
      </c>
      <c r="E127" s="289">
        <f>SUM(E128:E136)</f>
        <v>11067559.2666412</v>
      </c>
      <c r="F127" s="289">
        <f>SUM(F128:F136)</f>
        <v>720561.92466880009</v>
      </c>
      <c r="G127" s="247">
        <f>SUM(G128:G136)</f>
        <v>2555705.9886899996</v>
      </c>
      <c r="H127" s="288">
        <f t="shared" si="16"/>
        <v>13782564.069999998</v>
      </c>
      <c r="I127" s="289">
        <f>SUM(I128:I136)</f>
        <v>11058109.549999999</v>
      </c>
      <c r="J127" s="289">
        <f>SUM(J128:J136)</f>
        <v>689001.86</v>
      </c>
      <c r="K127" s="247">
        <f>SUM(K128:K136)</f>
        <v>2035452.66</v>
      </c>
      <c r="L127" s="394"/>
    </row>
    <row r="128" spans="1:13" s="91" customFormat="1" outlineLevel="1" x14ac:dyDescent="0.25">
      <c r="A128" s="260"/>
      <c r="B128" s="261" t="s">
        <v>68</v>
      </c>
      <c r="C128" s="252">
        <v>561263.11</v>
      </c>
      <c r="D128" s="316">
        <f t="shared" ref="D128:D134" si="23">E128+F128+G128</f>
        <v>561263.1100000001</v>
      </c>
      <c r="E128" s="250">
        <v>529703.04197604069</v>
      </c>
      <c r="F128" s="250">
        <v>31560.06802395936</v>
      </c>
      <c r="G128" s="251">
        <v>0</v>
      </c>
      <c r="H128" s="249">
        <f t="shared" ref="H128:H192" si="24">SUM(I128:K128)</f>
        <v>0</v>
      </c>
      <c r="I128" s="250"/>
      <c r="J128" s="250"/>
      <c r="K128" s="251"/>
      <c r="L128" s="262" t="s">
        <v>687</v>
      </c>
      <c r="M128" s="597">
        <v>42537</v>
      </c>
    </row>
    <row r="129" spans="1:13" s="91" customFormat="1" outlineLevel="1" x14ac:dyDescent="0.25">
      <c r="A129" s="260"/>
      <c r="B129" s="261" t="s">
        <v>64</v>
      </c>
      <c r="C129" s="252">
        <v>3519839.42</v>
      </c>
      <c r="D129" s="316">
        <f t="shared" si="23"/>
        <v>3519839.42</v>
      </c>
      <c r="E129" s="250">
        <f>C129*0.8041</f>
        <v>2830302.8776219999</v>
      </c>
      <c r="F129" s="250">
        <f>C129*5%</f>
        <v>175991.97100000002</v>
      </c>
      <c r="G129" s="251">
        <f t="shared" ref="G129:G134" si="25">C129-E129-F129</f>
        <v>513544.57137799996</v>
      </c>
      <c r="H129" s="249">
        <f t="shared" si="24"/>
        <v>3519839.4200000004</v>
      </c>
      <c r="I129" s="250">
        <v>3343847.45</v>
      </c>
      <c r="J129" s="250">
        <v>175991.97</v>
      </c>
      <c r="K129" s="251">
        <v>0</v>
      </c>
      <c r="L129" s="262" t="s">
        <v>631</v>
      </c>
    </row>
    <row r="130" spans="1:13" s="91" customFormat="1" outlineLevel="1" x14ac:dyDescent="0.25">
      <c r="A130" s="260"/>
      <c r="B130" s="261" t="s">
        <v>65</v>
      </c>
      <c r="C130" s="252">
        <v>310866.2</v>
      </c>
      <c r="D130" s="316">
        <f t="shared" si="23"/>
        <v>310866.2</v>
      </c>
      <c r="E130" s="250">
        <f>C130*0.7356</f>
        <v>228673.17672000002</v>
      </c>
      <c r="F130" s="250">
        <f>C130*5%</f>
        <v>15543.310000000001</v>
      </c>
      <c r="G130" s="251">
        <f t="shared" si="25"/>
        <v>66649.713279999996</v>
      </c>
      <c r="H130" s="249">
        <f t="shared" si="24"/>
        <v>310866.2</v>
      </c>
      <c r="I130" s="250">
        <v>232329.84</v>
      </c>
      <c r="J130" s="250">
        <v>15543.31</v>
      </c>
      <c r="K130" s="251">
        <v>62993.05</v>
      </c>
      <c r="L130" s="262" t="s">
        <v>631</v>
      </c>
    </row>
    <row r="131" spans="1:13" s="91" customFormat="1" outlineLevel="1" x14ac:dyDescent="0.25">
      <c r="A131" s="260"/>
      <c r="B131" s="261" t="s">
        <v>66</v>
      </c>
      <c r="C131" s="252">
        <f>254877.25+4592.26</f>
        <v>259469.51</v>
      </c>
      <c r="D131" s="316">
        <f t="shared" si="23"/>
        <v>259469.51</v>
      </c>
      <c r="E131" s="250">
        <f>C131*0.7356</f>
        <v>190865.77155600002</v>
      </c>
      <c r="F131" s="250">
        <f>C131*5%</f>
        <v>12973.4755</v>
      </c>
      <c r="G131" s="251">
        <f t="shared" si="25"/>
        <v>55630.262943999987</v>
      </c>
      <c r="H131" s="249">
        <f t="shared" si="24"/>
        <v>259469.51</v>
      </c>
      <c r="I131" s="250">
        <v>193917.86</v>
      </c>
      <c r="J131" s="250">
        <v>12973.48</v>
      </c>
      <c r="K131" s="251">
        <v>52578.17</v>
      </c>
      <c r="L131" s="262" t="s">
        <v>631</v>
      </c>
    </row>
    <row r="132" spans="1:13" s="91" customFormat="1" outlineLevel="1" x14ac:dyDescent="0.25">
      <c r="A132" s="260"/>
      <c r="B132" s="261" t="s">
        <v>571</v>
      </c>
      <c r="C132" s="252">
        <v>720099.72</v>
      </c>
      <c r="D132" s="316">
        <f t="shared" si="23"/>
        <v>720099.72</v>
      </c>
      <c r="E132" s="250">
        <v>684094.73</v>
      </c>
      <c r="F132" s="250">
        <v>36004.99</v>
      </c>
      <c r="G132" s="251">
        <f t="shared" si="25"/>
        <v>0</v>
      </c>
      <c r="H132" s="249">
        <f t="shared" si="24"/>
        <v>720099.72</v>
      </c>
      <c r="I132" s="250">
        <v>684094.73</v>
      </c>
      <c r="J132" s="250">
        <v>36004.99</v>
      </c>
      <c r="K132" s="251">
        <v>0</v>
      </c>
      <c r="L132" s="262" t="s">
        <v>761</v>
      </c>
      <c r="M132" s="597">
        <v>42551</v>
      </c>
    </row>
    <row r="133" spans="1:13" s="91" customFormat="1" outlineLevel="1" x14ac:dyDescent="0.25">
      <c r="A133" s="260"/>
      <c r="B133" s="261" t="s">
        <v>555</v>
      </c>
      <c r="C133" s="252">
        <v>3835534.22</v>
      </c>
      <c r="D133" s="316">
        <f t="shared" si="23"/>
        <v>3835534.22</v>
      </c>
      <c r="E133" s="250">
        <f>C133*0.7356</f>
        <v>2821418.9722320004</v>
      </c>
      <c r="F133" s="250">
        <f>C133*0.05</f>
        <v>191776.71100000001</v>
      </c>
      <c r="G133" s="251">
        <f t="shared" si="25"/>
        <v>822338.53676799976</v>
      </c>
      <c r="H133" s="249">
        <f t="shared" si="24"/>
        <v>3835534.22</v>
      </c>
      <c r="I133" s="250">
        <v>2821418.98</v>
      </c>
      <c r="J133" s="250">
        <v>191776.7</v>
      </c>
      <c r="K133" s="251">
        <v>822338.54</v>
      </c>
      <c r="L133" s="262" t="s">
        <v>690</v>
      </c>
    </row>
    <row r="134" spans="1:13" s="91" customFormat="1" outlineLevel="1" x14ac:dyDescent="0.25">
      <c r="A134" s="260"/>
      <c r="B134" s="261" t="s">
        <v>557</v>
      </c>
      <c r="C134" s="252">
        <v>4994668.71</v>
      </c>
      <c r="D134" s="316">
        <f t="shared" si="23"/>
        <v>4994668.71</v>
      </c>
      <c r="E134" s="250">
        <f>C134*0.7356</f>
        <v>3674078.303076</v>
      </c>
      <c r="F134" s="250">
        <f>C134*0.05</f>
        <v>249733.43550000002</v>
      </c>
      <c r="G134" s="251">
        <f t="shared" si="25"/>
        <v>1070856.9714239999</v>
      </c>
      <c r="H134" s="249">
        <f t="shared" si="24"/>
        <v>4994668.71</v>
      </c>
      <c r="I134" s="250">
        <v>3674078.3</v>
      </c>
      <c r="J134" s="250">
        <v>249733.44</v>
      </c>
      <c r="K134" s="251">
        <v>1070856.97</v>
      </c>
      <c r="L134" s="262" t="s">
        <v>690</v>
      </c>
    </row>
    <row r="135" spans="1:13" s="91" customFormat="1" outlineLevel="1" x14ac:dyDescent="0.25">
      <c r="A135" s="260"/>
      <c r="B135" s="261" t="s">
        <v>554</v>
      </c>
      <c r="C135" s="252">
        <v>48909.15</v>
      </c>
      <c r="D135" s="316">
        <f>E135+F135+G135</f>
        <v>48909.15</v>
      </c>
      <c r="E135" s="250">
        <v>46590.043355159221</v>
      </c>
      <c r="F135" s="250">
        <v>2319.106644840781</v>
      </c>
      <c r="G135" s="251">
        <v>0</v>
      </c>
      <c r="H135" s="249">
        <f t="shared" si="24"/>
        <v>48909.15</v>
      </c>
      <c r="I135" s="250">
        <v>46590.04</v>
      </c>
      <c r="J135" s="250">
        <v>2319.11</v>
      </c>
      <c r="K135" s="251">
        <v>0</v>
      </c>
      <c r="L135" s="262" t="s">
        <v>811</v>
      </c>
      <c r="M135" s="597">
        <v>42604</v>
      </c>
    </row>
    <row r="136" spans="1:13" s="91" customFormat="1" outlineLevel="1" x14ac:dyDescent="0.25">
      <c r="A136" s="260"/>
      <c r="B136" s="261" t="s">
        <v>67</v>
      </c>
      <c r="C136" s="252">
        <v>93177.14</v>
      </c>
      <c r="D136" s="249">
        <f>SUM(E136:G136)</f>
        <v>93177.14</v>
      </c>
      <c r="E136" s="250">
        <f>C136*0.6636</f>
        <v>61832.350103999997</v>
      </c>
      <c r="F136" s="250">
        <f>C136*5%</f>
        <v>4658.857</v>
      </c>
      <c r="G136" s="251">
        <f>C136-E136-F136</f>
        <v>26685.932896000002</v>
      </c>
      <c r="H136" s="249">
        <f t="shared" si="24"/>
        <v>93177.139999999985</v>
      </c>
      <c r="I136" s="250">
        <v>61832.35</v>
      </c>
      <c r="J136" s="250">
        <v>4658.8599999999997</v>
      </c>
      <c r="K136" s="251">
        <v>26685.93</v>
      </c>
      <c r="L136" s="262" t="s">
        <v>620</v>
      </c>
    </row>
    <row r="137" spans="1:13" s="395" customFormat="1" ht="22.5" customHeight="1" x14ac:dyDescent="0.2">
      <c r="A137" s="391">
        <v>26</v>
      </c>
      <c r="B137" s="392" t="s">
        <v>232</v>
      </c>
      <c r="C137" s="290">
        <f>SUM(C138:C144)</f>
        <v>5881000.709999999</v>
      </c>
      <c r="D137" s="288">
        <f>SUM(E137:G137)</f>
        <v>5881000.709999999</v>
      </c>
      <c r="E137" s="289">
        <f>SUM(E138:E144)</f>
        <v>4874250.9504452962</v>
      </c>
      <c r="F137" s="289">
        <f>SUM(F138:F144)</f>
        <v>294178.84187970357</v>
      </c>
      <c r="G137" s="247">
        <f>SUM(G138:G144)</f>
        <v>712570.91767499992</v>
      </c>
      <c r="H137" s="288">
        <f t="shared" si="24"/>
        <v>5881000.71</v>
      </c>
      <c r="I137" s="289">
        <f>SUM(I138:I144)</f>
        <v>4938203.76</v>
      </c>
      <c r="J137" s="289">
        <f>SUM(J138:J144)</f>
        <v>294178.86</v>
      </c>
      <c r="K137" s="247">
        <f>SUM(K138:K144)</f>
        <v>648618.09000000008</v>
      </c>
      <c r="L137" s="394"/>
    </row>
    <row r="138" spans="1:13" s="91" customFormat="1" outlineLevel="1" x14ac:dyDescent="0.25">
      <c r="A138" s="260"/>
      <c r="B138" s="261" t="s">
        <v>68</v>
      </c>
      <c r="C138" s="252">
        <v>620407.68000000005</v>
      </c>
      <c r="D138" s="316">
        <f t="shared" ref="D138:D143" si="26">E138+F138+G138</f>
        <v>620407.68000000005</v>
      </c>
      <c r="E138" s="250">
        <f>C138-F138</f>
        <v>589387.29600000009</v>
      </c>
      <c r="F138" s="250">
        <f>C138*0.05</f>
        <v>31020.384000000005</v>
      </c>
      <c r="G138" s="251">
        <v>0</v>
      </c>
      <c r="H138" s="249">
        <f t="shared" si="24"/>
        <v>620407.68000000005</v>
      </c>
      <c r="I138" s="250">
        <v>589387.29</v>
      </c>
      <c r="J138" s="250">
        <v>31020.39</v>
      </c>
      <c r="K138" s="251"/>
      <c r="L138" s="262" t="s">
        <v>813</v>
      </c>
    </row>
    <row r="139" spans="1:13" s="91" customFormat="1" outlineLevel="1" x14ac:dyDescent="0.25">
      <c r="A139" s="260"/>
      <c r="B139" s="261" t="s">
        <v>64</v>
      </c>
      <c r="C139" s="252">
        <v>3581823.61</v>
      </c>
      <c r="D139" s="316">
        <f t="shared" si="26"/>
        <v>3581823.6099999994</v>
      </c>
      <c r="E139" s="250">
        <f>C139*0.8041</f>
        <v>2880144.3648009999</v>
      </c>
      <c r="F139" s="250">
        <f>C139*5%</f>
        <v>179091.18050000002</v>
      </c>
      <c r="G139" s="251">
        <f>C139-E139-F139</f>
        <v>522588.06469899998</v>
      </c>
      <c r="H139" s="249">
        <f t="shared" si="24"/>
        <v>3581823.61</v>
      </c>
      <c r="I139" s="250">
        <v>2937095.36</v>
      </c>
      <c r="J139" s="250">
        <v>179091.18</v>
      </c>
      <c r="K139" s="251">
        <v>465637.07</v>
      </c>
      <c r="L139" s="262" t="s">
        <v>631</v>
      </c>
    </row>
    <row r="140" spans="1:13" s="91" customFormat="1" outlineLevel="1" x14ac:dyDescent="0.25">
      <c r="A140" s="260"/>
      <c r="B140" s="261" t="s">
        <v>65</v>
      </c>
      <c r="C140" s="252">
        <f>456425.95+8653.19</f>
        <v>465079.14</v>
      </c>
      <c r="D140" s="316">
        <f t="shared" si="26"/>
        <v>465079.14</v>
      </c>
      <c r="E140" s="250">
        <f>C140*0.7356</f>
        <v>342112.21538400004</v>
      </c>
      <c r="F140" s="250">
        <f>C140*5%</f>
        <v>23253.957000000002</v>
      </c>
      <c r="G140" s="251">
        <f>C140-E140-F140</f>
        <v>99712.96761599998</v>
      </c>
      <c r="H140" s="249">
        <f t="shared" si="24"/>
        <v>465079.14</v>
      </c>
      <c r="I140" s="250">
        <v>346418.44</v>
      </c>
      <c r="J140" s="250">
        <v>23253.96</v>
      </c>
      <c r="K140" s="251">
        <v>95406.74</v>
      </c>
      <c r="L140" s="262" t="s">
        <v>631</v>
      </c>
    </row>
    <row r="141" spans="1:13" s="91" customFormat="1" outlineLevel="1" x14ac:dyDescent="0.25">
      <c r="A141" s="260"/>
      <c r="B141" s="261" t="s">
        <v>66</v>
      </c>
      <c r="C141" s="252">
        <f>285708.12+5421.27</f>
        <v>291129.39</v>
      </c>
      <c r="D141" s="316">
        <f t="shared" si="26"/>
        <v>291129.39</v>
      </c>
      <c r="E141" s="250">
        <f>C141*0.7356</f>
        <v>214154.77928400002</v>
      </c>
      <c r="F141" s="250">
        <f>C141*5%</f>
        <v>14556.469500000001</v>
      </c>
      <c r="G141" s="251">
        <f>C141-E141-F141</f>
        <v>62418.141215999996</v>
      </c>
      <c r="H141" s="249">
        <f t="shared" si="24"/>
        <v>291129.39</v>
      </c>
      <c r="I141" s="250">
        <v>216850.38</v>
      </c>
      <c r="J141" s="250">
        <v>14556.47</v>
      </c>
      <c r="K141" s="251">
        <v>59722.54</v>
      </c>
      <c r="L141" s="262" t="s">
        <v>631</v>
      </c>
      <c r="M141" s="597">
        <v>42551</v>
      </c>
    </row>
    <row r="142" spans="1:13" s="91" customFormat="1" outlineLevel="1" x14ac:dyDescent="0.25">
      <c r="A142" s="260"/>
      <c r="B142" s="261" t="s">
        <v>571</v>
      </c>
      <c r="C142" s="252">
        <v>773679.98</v>
      </c>
      <c r="D142" s="316">
        <f t="shared" si="26"/>
        <v>773679.98</v>
      </c>
      <c r="E142" s="250">
        <v>734995.98</v>
      </c>
      <c r="F142" s="250">
        <v>38684</v>
      </c>
      <c r="G142" s="251">
        <f>C142-E142-F142</f>
        <v>0</v>
      </c>
      <c r="H142" s="249">
        <f t="shared" si="24"/>
        <v>773679.98</v>
      </c>
      <c r="I142" s="250">
        <v>734995.98</v>
      </c>
      <c r="J142" s="250">
        <v>38684</v>
      </c>
      <c r="K142" s="251">
        <v>0</v>
      </c>
      <c r="L142" s="262" t="s">
        <v>761</v>
      </c>
    </row>
    <row r="143" spans="1:13" s="91" customFormat="1" outlineLevel="1" x14ac:dyDescent="0.25">
      <c r="A143" s="260"/>
      <c r="B143" s="261" t="s">
        <v>554</v>
      </c>
      <c r="C143" s="252">
        <v>51633.2</v>
      </c>
      <c r="D143" s="316">
        <f t="shared" si="26"/>
        <v>51633.2</v>
      </c>
      <c r="E143" s="250">
        <v>48922.734620296447</v>
      </c>
      <c r="F143" s="250">
        <v>2710.4653797035494</v>
      </c>
      <c r="G143" s="251">
        <v>0</v>
      </c>
      <c r="H143" s="249">
        <f>SUM(I143:K143)</f>
        <v>51633.200000000004</v>
      </c>
      <c r="I143" s="250">
        <v>48922.73</v>
      </c>
      <c r="J143" s="250">
        <v>2710.47</v>
      </c>
      <c r="K143" s="251">
        <v>0</v>
      </c>
      <c r="L143" s="262" t="s">
        <v>811</v>
      </c>
      <c r="M143" s="597">
        <v>42604</v>
      </c>
    </row>
    <row r="144" spans="1:13" s="91" customFormat="1" outlineLevel="1" x14ac:dyDescent="0.25">
      <c r="A144" s="260"/>
      <c r="B144" s="261" t="s">
        <v>67</v>
      </c>
      <c r="C144" s="252">
        <v>97247.71</v>
      </c>
      <c r="D144" s="249">
        <f>SUM(E144:G144)</f>
        <v>97247.71</v>
      </c>
      <c r="E144" s="250">
        <f>C144*0.6636</f>
        <v>64533.580355999999</v>
      </c>
      <c r="F144" s="250">
        <f>C144*5%</f>
        <v>4862.3855000000003</v>
      </c>
      <c r="G144" s="251">
        <f>C144-E144-F144</f>
        <v>27851.744144000008</v>
      </c>
      <c r="H144" s="249">
        <f t="shared" si="24"/>
        <v>97247.71</v>
      </c>
      <c r="I144" s="250">
        <v>64533.58</v>
      </c>
      <c r="J144" s="250">
        <v>4862.3900000000003</v>
      </c>
      <c r="K144" s="251">
        <v>27851.74</v>
      </c>
      <c r="L144" s="262" t="s">
        <v>620</v>
      </c>
    </row>
    <row r="145" spans="1:13" s="395" customFormat="1" ht="20.25" customHeight="1" x14ac:dyDescent="0.2">
      <c r="A145" s="391">
        <v>27</v>
      </c>
      <c r="B145" s="392" t="s">
        <v>233</v>
      </c>
      <c r="C145" s="290">
        <f>SUM(C146:C152)</f>
        <v>7838517.2400000002</v>
      </c>
      <c r="D145" s="288">
        <f>SUM(E145:G145)</f>
        <v>7838517.2400000021</v>
      </c>
      <c r="E145" s="289">
        <f>SUM(E146:E152)</f>
        <v>6484960.2476121336</v>
      </c>
      <c r="F145" s="289">
        <f>SUM(F146:F152)</f>
        <v>385016.33820036787</v>
      </c>
      <c r="G145" s="247">
        <f>SUM(G146:G152)</f>
        <v>968540.65418750036</v>
      </c>
      <c r="H145" s="288">
        <f t="shared" si="24"/>
        <v>7838517.2399999984</v>
      </c>
      <c r="I145" s="289">
        <f>SUM(I146:I152)</f>
        <v>6568140.3699999992</v>
      </c>
      <c r="J145" s="289">
        <f>SUM(J146:J152)</f>
        <v>385016.35000000003</v>
      </c>
      <c r="K145" s="247">
        <f>SUM(K146:K152)</f>
        <v>885360.52</v>
      </c>
      <c r="L145" s="394"/>
    </row>
    <row r="146" spans="1:13" s="91" customFormat="1" outlineLevel="1" x14ac:dyDescent="0.25">
      <c r="A146" s="260"/>
      <c r="B146" s="261" t="s">
        <v>68</v>
      </c>
      <c r="C146" s="252">
        <v>670757.13000000012</v>
      </c>
      <c r="D146" s="316">
        <f t="shared" ref="D146:D151" si="27">SUM(E146:G146)</f>
        <v>670757.13000000012</v>
      </c>
      <c r="E146" s="250">
        <f>C146*0.83705</f>
        <v>561457.25566650007</v>
      </c>
      <c r="F146" s="250">
        <f>C146*0.05</f>
        <v>33537.856500000009</v>
      </c>
      <c r="G146" s="251">
        <f>C146-E146-F146</f>
        <v>75762.017833500038</v>
      </c>
      <c r="H146" s="249">
        <f t="shared" si="24"/>
        <v>670757.13</v>
      </c>
      <c r="I146" s="250">
        <v>637219.27</v>
      </c>
      <c r="J146" s="250">
        <v>33537.86</v>
      </c>
      <c r="K146" s="251"/>
      <c r="L146" s="262" t="s">
        <v>687</v>
      </c>
      <c r="M146" s="597">
        <v>42607</v>
      </c>
    </row>
    <row r="147" spans="1:13" s="91" customFormat="1" outlineLevel="1" x14ac:dyDescent="0.25">
      <c r="A147" s="260"/>
      <c r="B147" s="261" t="s">
        <v>64</v>
      </c>
      <c r="C147" s="252">
        <v>5108020.12</v>
      </c>
      <c r="D147" s="316">
        <f t="shared" si="27"/>
        <v>5108020.12</v>
      </c>
      <c r="E147" s="250">
        <v>4158969.4449212323</v>
      </c>
      <c r="F147" s="250">
        <v>248491.47720036787</v>
      </c>
      <c r="G147" s="251">
        <v>700559.19787839998</v>
      </c>
      <c r="H147" s="249">
        <f t="shared" si="24"/>
        <v>5108020.12</v>
      </c>
      <c r="I147" s="250">
        <v>4158969.44</v>
      </c>
      <c r="J147" s="250">
        <v>248491.48</v>
      </c>
      <c r="K147" s="251">
        <v>700559.2</v>
      </c>
      <c r="L147" s="262" t="s">
        <v>632</v>
      </c>
      <c r="M147" s="597">
        <v>42561</v>
      </c>
    </row>
    <row r="148" spans="1:13" s="91" customFormat="1" outlineLevel="1" x14ac:dyDescent="0.25">
      <c r="A148" s="260"/>
      <c r="B148" s="261" t="s">
        <v>65</v>
      </c>
      <c r="C148" s="252">
        <f>362035.61+6878.8</f>
        <v>368914.41</v>
      </c>
      <c r="D148" s="316">
        <f t="shared" si="27"/>
        <v>368914.41</v>
      </c>
      <c r="E148" s="250">
        <f>C148*0.7356</f>
        <v>271373.43999599997</v>
      </c>
      <c r="F148" s="250">
        <f>C148*5%</f>
        <v>18445.720499999999</v>
      </c>
      <c r="G148" s="251">
        <f>C148-E148-F148</f>
        <v>79095.249504000007</v>
      </c>
      <c r="H148" s="249">
        <f t="shared" si="24"/>
        <v>368914.41000000003</v>
      </c>
      <c r="I148" s="250">
        <v>275159.28000000003</v>
      </c>
      <c r="J148" s="250">
        <v>18445.72</v>
      </c>
      <c r="K148" s="251">
        <v>75309.41</v>
      </c>
      <c r="L148" s="262" t="s">
        <v>632</v>
      </c>
    </row>
    <row r="149" spans="1:13" s="91" customFormat="1" outlineLevel="1" x14ac:dyDescent="0.25">
      <c r="A149" s="260"/>
      <c r="B149" s="261" t="s">
        <v>66</v>
      </c>
      <c r="C149" s="252">
        <f>347554.51+6396.83</f>
        <v>353951.34</v>
      </c>
      <c r="D149" s="316">
        <f t="shared" si="27"/>
        <v>353951.34</v>
      </c>
      <c r="E149" s="250">
        <f>C149*0.7356</f>
        <v>260366.60570400002</v>
      </c>
      <c r="F149" s="250">
        <f>C149*5%</f>
        <v>17697.567000000003</v>
      </c>
      <c r="G149" s="251">
        <f>C149-E149-F149</f>
        <v>75887.167296</v>
      </c>
      <c r="H149" s="249">
        <f t="shared" si="24"/>
        <v>353951.34</v>
      </c>
      <c r="I149" s="250">
        <v>263998.88</v>
      </c>
      <c r="J149" s="250">
        <v>17697.57</v>
      </c>
      <c r="K149" s="251">
        <v>72254.89</v>
      </c>
      <c r="L149" s="262" t="s">
        <v>632</v>
      </c>
    </row>
    <row r="150" spans="1:13" s="91" customFormat="1" outlineLevel="1" x14ac:dyDescent="0.25">
      <c r="A150" s="260"/>
      <c r="B150" s="261" t="s">
        <v>571</v>
      </c>
      <c r="C150" s="252">
        <v>1164724.8999999999</v>
      </c>
      <c r="D150" s="316">
        <f t="shared" si="27"/>
        <v>1164724.8999999999</v>
      </c>
      <c r="E150" s="250">
        <v>1106488.6499999999</v>
      </c>
      <c r="F150" s="250">
        <v>58236.25</v>
      </c>
      <c r="G150" s="251">
        <f>C150-E150-F150</f>
        <v>0</v>
      </c>
      <c r="H150" s="249">
        <f t="shared" si="24"/>
        <v>1164724.8999999999</v>
      </c>
      <c r="I150" s="250">
        <v>1106488.6499999999</v>
      </c>
      <c r="J150" s="250">
        <v>58236.25</v>
      </c>
      <c r="K150" s="251">
        <v>0</v>
      </c>
      <c r="L150" s="262" t="s">
        <v>761</v>
      </c>
      <c r="M150" s="597">
        <v>42551</v>
      </c>
    </row>
    <row r="151" spans="1:13" s="91" customFormat="1" outlineLevel="1" x14ac:dyDescent="0.25">
      <c r="A151" s="260"/>
      <c r="B151" s="261" t="s">
        <v>554</v>
      </c>
      <c r="C151" s="252">
        <v>69119.95</v>
      </c>
      <c r="D151" s="316">
        <f t="shared" si="27"/>
        <v>69119.95</v>
      </c>
      <c r="E151" s="250">
        <v>57934.548120399733</v>
      </c>
      <c r="F151" s="250">
        <v>3455.9974999999854</v>
      </c>
      <c r="G151" s="251">
        <v>7729.4043796002825</v>
      </c>
      <c r="H151" s="249">
        <f t="shared" si="24"/>
        <v>69119.95</v>
      </c>
      <c r="I151" s="250">
        <v>57934.55</v>
      </c>
      <c r="J151" s="250">
        <v>3456</v>
      </c>
      <c r="K151" s="251">
        <v>7729.4</v>
      </c>
      <c r="L151" s="262" t="s">
        <v>811</v>
      </c>
      <c r="M151" s="597">
        <v>42604</v>
      </c>
    </row>
    <row r="152" spans="1:13" s="91" customFormat="1" outlineLevel="1" x14ac:dyDescent="0.25">
      <c r="A152" s="260"/>
      <c r="B152" s="261" t="s">
        <v>67</v>
      </c>
      <c r="C152" s="252">
        <v>103029.39</v>
      </c>
      <c r="D152" s="249">
        <f>SUM(E152:G152)</f>
        <v>103029.39000000001</v>
      </c>
      <c r="E152" s="250">
        <f>C152*0.6636</f>
        <v>68370.303203999996</v>
      </c>
      <c r="F152" s="250">
        <f>C152*5%</f>
        <v>5151.4695000000002</v>
      </c>
      <c r="G152" s="251">
        <f>C152-E152-F152</f>
        <v>29507.617296000004</v>
      </c>
      <c r="H152" s="249">
        <f t="shared" si="24"/>
        <v>103029.39</v>
      </c>
      <c r="I152" s="250">
        <v>68370.3</v>
      </c>
      <c r="J152" s="250">
        <v>5151.47</v>
      </c>
      <c r="K152" s="251">
        <v>29507.62</v>
      </c>
      <c r="L152" s="262" t="s">
        <v>620</v>
      </c>
    </row>
    <row r="153" spans="1:13" s="395" customFormat="1" ht="21.75" customHeight="1" x14ac:dyDescent="0.2">
      <c r="A153" s="391">
        <v>28</v>
      </c>
      <c r="B153" s="392" t="s">
        <v>234</v>
      </c>
      <c r="C153" s="290">
        <f>SUM(C154:C160)</f>
        <v>7440850.6499999985</v>
      </c>
      <c r="D153" s="288">
        <f t="shared" ref="D153:D177" si="28">SUM(E153:G153)</f>
        <v>7440850.6500000004</v>
      </c>
      <c r="E153" s="289">
        <f>SUM(E154:E160)</f>
        <v>6219813.7779119126</v>
      </c>
      <c r="F153" s="289">
        <f>SUM(F154:F160)</f>
        <v>373174.67970616237</v>
      </c>
      <c r="G153" s="247">
        <f>SUM(G154:G160)</f>
        <v>847862.19238192483</v>
      </c>
      <c r="H153" s="288">
        <f t="shared" si="24"/>
        <v>7420114.0399999991</v>
      </c>
      <c r="I153" s="289">
        <f>SUM(I154:I160)</f>
        <v>6209800.7499999991</v>
      </c>
      <c r="J153" s="289">
        <f>SUM(J154:J160)</f>
        <v>372137.85</v>
      </c>
      <c r="K153" s="247">
        <f>SUM(K154:K160)</f>
        <v>838175.44</v>
      </c>
      <c r="L153" s="394"/>
    </row>
    <row r="154" spans="1:13" s="91" customFormat="1" outlineLevel="1" x14ac:dyDescent="0.25">
      <c r="A154" s="260"/>
      <c r="B154" s="261" t="s">
        <v>68</v>
      </c>
      <c r="C154" s="252">
        <v>670457.14</v>
      </c>
      <c r="D154" s="316">
        <f t="shared" ref="D154" si="29">SUM(E154:G154)</f>
        <v>670457.14</v>
      </c>
      <c r="E154" s="250">
        <f>477934.43+17431.14</f>
        <v>495365.57</v>
      </c>
      <c r="F154" s="250">
        <f>32486.02+1036.83</f>
        <v>33522.85</v>
      </c>
      <c r="G154" s="251">
        <f>139300.08+2268.64</f>
        <v>141568.72</v>
      </c>
      <c r="H154" s="249">
        <f>I154+J154+K154</f>
        <v>649720.53</v>
      </c>
      <c r="I154" s="250">
        <v>477934.43</v>
      </c>
      <c r="J154" s="250">
        <v>32486.02</v>
      </c>
      <c r="K154" s="251">
        <v>139300.07999999999</v>
      </c>
      <c r="L154" s="262" t="s">
        <v>687</v>
      </c>
      <c r="M154" s="597">
        <v>42607</v>
      </c>
    </row>
    <row r="155" spans="1:13" s="91" customFormat="1" outlineLevel="1" x14ac:dyDescent="0.25">
      <c r="A155" s="260"/>
      <c r="B155" s="261" t="s">
        <v>64</v>
      </c>
      <c r="C155" s="252">
        <v>4757165.8099999996</v>
      </c>
      <c r="D155" s="316">
        <f t="shared" si="28"/>
        <v>4757165.8099999987</v>
      </c>
      <c r="E155" s="250">
        <v>4003892.2528904369</v>
      </c>
      <c r="F155" s="250">
        <v>238990.43923116225</v>
      </c>
      <c r="G155" s="251">
        <v>514283.11787839985</v>
      </c>
      <c r="H155" s="249">
        <f t="shared" si="24"/>
        <v>4757165.8100000005</v>
      </c>
      <c r="I155" s="250">
        <v>4003892.25</v>
      </c>
      <c r="J155" s="250">
        <v>238990.44</v>
      </c>
      <c r="K155" s="251">
        <v>514283.12</v>
      </c>
      <c r="L155" s="262" t="s">
        <v>632</v>
      </c>
      <c r="M155" s="597">
        <v>42561</v>
      </c>
    </row>
    <row r="156" spans="1:13" s="91" customFormat="1" outlineLevel="1" x14ac:dyDescent="0.25">
      <c r="A156" s="260"/>
      <c r="B156" s="261" t="s">
        <v>65</v>
      </c>
      <c r="C156" s="252">
        <f>362035.61+5861.11</f>
        <v>367896.72</v>
      </c>
      <c r="D156" s="316">
        <f t="shared" si="28"/>
        <v>367896.72</v>
      </c>
      <c r="E156" s="250">
        <f>C156*0.7356</f>
        <v>270624.82723200001</v>
      </c>
      <c r="F156" s="250">
        <f>C156*5%</f>
        <v>18394.835999999999</v>
      </c>
      <c r="G156" s="251">
        <f>C156-E156-F156</f>
        <v>78877.056767999966</v>
      </c>
      <c r="H156" s="249">
        <f t="shared" si="24"/>
        <v>367896.72000000003</v>
      </c>
      <c r="I156" s="250">
        <v>274393.81</v>
      </c>
      <c r="J156" s="250">
        <v>18394.830000000002</v>
      </c>
      <c r="K156" s="251">
        <v>75108.08</v>
      </c>
      <c r="L156" s="262" t="s">
        <v>632</v>
      </c>
    </row>
    <row r="157" spans="1:13" s="91" customFormat="1" outlineLevel="1" x14ac:dyDescent="0.25">
      <c r="A157" s="260"/>
      <c r="B157" s="261" t="s">
        <v>66</v>
      </c>
      <c r="C157" s="252">
        <f>349648.31+6549.78</f>
        <v>356198.09</v>
      </c>
      <c r="D157" s="316">
        <f t="shared" si="28"/>
        <v>356198.09</v>
      </c>
      <c r="E157" s="250">
        <f>C157*0.7356</f>
        <v>262019.31500400003</v>
      </c>
      <c r="F157" s="250">
        <f>C157*5%</f>
        <v>17809.904500000001</v>
      </c>
      <c r="G157" s="251">
        <f>C157-E157-F157</f>
        <v>76368.870495999989</v>
      </c>
      <c r="H157" s="249">
        <f t="shared" si="24"/>
        <v>356198.08999999997</v>
      </c>
      <c r="I157" s="250">
        <v>265668.45</v>
      </c>
      <c r="J157" s="250">
        <v>17809.91</v>
      </c>
      <c r="K157" s="251">
        <v>72719.73</v>
      </c>
      <c r="L157" s="262" t="s">
        <v>632</v>
      </c>
    </row>
    <row r="158" spans="1:13" s="91" customFormat="1" outlineLevel="1" x14ac:dyDescent="0.25">
      <c r="A158" s="260"/>
      <c r="B158" s="261" t="s">
        <v>571</v>
      </c>
      <c r="C158" s="252">
        <v>1121855.5</v>
      </c>
      <c r="D158" s="316">
        <f t="shared" si="28"/>
        <v>1121855.5</v>
      </c>
      <c r="E158" s="250">
        <v>1065762.72</v>
      </c>
      <c r="F158" s="250">
        <v>56092.78</v>
      </c>
      <c r="G158" s="251">
        <f>C158-E158-F158</f>
        <v>0</v>
      </c>
      <c r="H158" s="249">
        <f t="shared" si="24"/>
        <v>1121855.5</v>
      </c>
      <c r="I158" s="250">
        <v>1065762.72</v>
      </c>
      <c r="J158" s="250">
        <v>56092.78</v>
      </c>
      <c r="K158" s="251">
        <v>0</v>
      </c>
      <c r="L158" s="262" t="s">
        <v>761</v>
      </c>
      <c r="M158" s="597">
        <v>42559</v>
      </c>
    </row>
    <row r="159" spans="1:13" s="91" customFormat="1" outlineLevel="1" x14ac:dyDescent="0.25">
      <c r="A159" s="260"/>
      <c r="B159" s="261" t="s">
        <v>554</v>
      </c>
      <c r="C159" s="252">
        <v>64248</v>
      </c>
      <c r="D159" s="316">
        <f t="shared" si="28"/>
        <v>64248.000000000007</v>
      </c>
      <c r="E159" s="250">
        <v>53778.789581474906</v>
      </c>
      <c r="F159" s="250">
        <v>3212.4004750000963</v>
      </c>
      <c r="G159" s="251">
        <v>7256.8099435250024</v>
      </c>
      <c r="H159" s="249">
        <f t="shared" si="24"/>
        <v>64248</v>
      </c>
      <c r="I159" s="250">
        <v>53778.79</v>
      </c>
      <c r="J159" s="250">
        <v>3212.4</v>
      </c>
      <c r="K159" s="251">
        <v>7256.81</v>
      </c>
      <c r="L159" s="262" t="s">
        <v>811</v>
      </c>
      <c r="M159" s="597">
        <v>42604</v>
      </c>
    </row>
    <row r="160" spans="1:13" s="91" customFormat="1" outlineLevel="1" x14ac:dyDescent="0.25">
      <c r="A160" s="260"/>
      <c r="B160" s="261" t="s">
        <v>67</v>
      </c>
      <c r="C160" s="252">
        <v>103029.39</v>
      </c>
      <c r="D160" s="249">
        <f t="shared" si="28"/>
        <v>103029.39000000001</v>
      </c>
      <c r="E160" s="250">
        <f>C160*0.6636</f>
        <v>68370.303203999996</v>
      </c>
      <c r="F160" s="250">
        <f>C160*5%</f>
        <v>5151.4695000000002</v>
      </c>
      <c r="G160" s="251">
        <f>C160-E160-F160</f>
        <v>29507.617296000004</v>
      </c>
      <c r="H160" s="249">
        <f t="shared" si="24"/>
        <v>103029.39</v>
      </c>
      <c r="I160" s="250">
        <v>68370.3</v>
      </c>
      <c r="J160" s="250">
        <v>5151.47</v>
      </c>
      <c r="K160" s="251">
        <v>29507.62</v>
      </c>
      <c r="L160" s="262" t="s">
        <v>620</v>
      </c>
    </row>
    <row r="161" spans="1:13" s="395" customFormat="1" ht="22.5" customHeight="1" x14ac:dyDescent="0.2">
      <c r="A161" s="391">
        <v>29</v>
      </c>
      <c r="B161" s="392" t="s">
        <v>235</v>
      </c>
      <c r="C161" s="290">
        <f>SUM(C162:C169)</f>
        <v>10104718.579999998</v>
      </c>
      <c r="D161" s="288">
        <f t="shared" si="28"/>
        <v>10104718.58</v>
      </c>
      <c r="E161" s="289">
        <f>SUM(E162:E169)</f>
        <v>7854700.8900000006</v>
      </c>
      <c r="F161" s="289">
        <f>SUM(F162:F169)</f>
        <v>505235.93000000005</v>
      </c>
      <c r="G161" s="247">
        <f>SUM(G162:G169)</f>
        <v>1744781.7600000005</v>
      </c>
      <c r="H161" s="288">
        <f t="shared" si="24"/>
        <v>7726548.4699999997</v>
      </c>
      <c r="I161" s="289">
        <f>SUM(I162:I169)</f>
        <v>6466596.6099999994</v>
      </c>
      <c r="J161" s="289">
        <f>SUM(J162:J169)</f>
        <v>387161.62</v>
      </c>
      <c r="K161" s="247">
        <f>SUM(K162:K169)</f>
        <v>872790.23999999987</v>
      </c>
      <c r="L161" s="394"/>
    </row>
    <row r="162" spans="1:13" s="91" customFormat="1" outlineLevel="1" x14ac:dyDescent="0.25">
      <c r="A162" s="260"/>
      <c r="B162" s="261" t="s">
        <v>68</v>
      </c>
      <c r="C162" s="252">
        <v>678804.1</v>
      </c>
      <c r="D162" s="316">
        <f t="shared" ref="D162" si="30">SUM(E162:G162)</f>
        <v>678804.10000000009</v>
      </c>
      <c r="E162" s="250">
        <f>484074.45+17434.17</f>
        <v>501508.62</v>
      </c>
      <c r="F162" s="250">
        <f>32903.36+1036.83</f>
        <v>33940.19</v>
      </c>
      <c r="G162" s="251">
        <f>141089.68+2265.61</f>
        <v>143355.28999999998</v>
      </c>
      <c r="H162" s="249">
        <f>SUM(I162:K162)</f>
        <v>658067.49</v>
      </c>
      <c r="I162" s="250">
        <v>484074.45</v>
      </c>
      <c r="J162" s="250">
        <v>32903.360000000001</v>
      </c>
      <c r="K162" s="251">
        <v>141089.68</v>
      </c>
      <c r="L162" s="262" t="s">
        <v>687</v>
      </c>
      <c r="M162" s="597">
        <v>42607</v>
      </c>
    </row>
    <row r="163" spans="1:13" s="91" customFormat="1" outlineLevel="1" x14ac:dyDescent="0.25">
      <c r="A163" s="260"/>
      <c r="B163" s="261" t="s">
        <v>64</v>
      </c>
      <c r="C163" s="252">
        <v>4983332.9300000006</v>
      </c>
      <c r="D163" s="316">
        <f t="shared" si="28"/>
        <v>4983332.93</v>
      </c>
      <c r="E163" s="250">
        <v>4187312.87</v>
      </c>
      <c r="F163" s="250">
        <v>250000.84999999998</v>
      </c>
      <c r="G163" s="251">
        <v>546019.21</v>
      </c>
      <c r="H163" s="249">
        <f>SUM(I163:K163)</f>
        <v>4983332.93</v>
      </c>
      <c r="I163" s="250">
        <v>4187312.87</v>
      </c>
      <c r="J163" s="250">
        <v>250000.85</v>
      </c>
      <c r="K163" s="251">
        <v>546019.21</v>
      </c>
      <c r="L163" s="262" t="s">
        <v>632</v>
      </c>
      <c r="M163" s="597">
        <v>42561</v>
      </c>
    </row>
    <row r="164" spans="1:13" s="91" customFormat="1" outlineLevel="1" x14ac:dyDescent="0.25">
      <c r="A164" s="260"/>
      <c r="B164" s="261" t="s">
        <v>65</v>
      </c>
      <c r="C164" s="252">
        <f>362035.61+5861.11</f>
        <v>367896.72</v>
      </c>
      <c r="D164" s="316">
        <f t="shared" si="28"/>
        <v>367896.72</v>
      </c>
      <c r="E164" s="250">
        <f>C164*0.7356</f>
        <v>270624.82723200001</v>
      </c>
      <c r="F164" s="250">
        <f>C164*5%</f>
        <v>18394.835999999999</v>
      </c>
      <c r="G164" s="251">
        <f>C164-E164-F164</f>
        <v>78877.056767999966</v>
      </c>
      <c r="H164" s="249">
        <f t="shared" si="24"/>
        <v>367896.72000000003</v>
      </c>
      <c r="I164" s="250">
        <v>274513.34000000003</v>
      </c>
      <c r="J164" s="250">
        <v>18394.84</v>
      </c>
      <c r="K164" s="251">
        <v>74988.539999999994</v>
      </c>
      <c r="L164" s="262" t="s">
        <v>632</v>
      </c>
    </row>
    <row r="165" spans="1:13" s="91" customFormat="1" outlineLevel="1" x14ac:dyDescent="0.25">
      <c r="A165" s="260"/>
      <c r="B165" s="261" t="s">
        <v>66</v>
      </c>
      <c r="C165" s="252">
        <f>349648.31+6549.78</f>
        <v>356198.09</v>
      </c>
      <c r="D165" s="316">
        <f t="shared" si="28"/>
        <v>356198.09</v>
      </c>
      <c r="E165" s="250">
        <f>C165*0.7356</f>
        <v>262019.31500400003</v>
      </c>
      <c r="F165" s="250">
        <f>C165*5%</f>
        <v>17809.904500000001</v>
      </c>
      <c r="G165" s="251">
        <f>C165-E165-F165</f>
        <v>76368.870495999989</v>
      </c>
      <c r="H165" s="249">
        <f t="shared" si="24"/>
        <v>356198.08999999997</v>
      </c>
      <c r="I165" s="250">
        <v>265784.18</v>
      </c>
      <c r="J165" s="250">
        <v>17809.91</v>
      </c>
      <c r="K165" s="251">
        <v>72604</v>
      </c>
      <c r="L165" s="262" t="s">
        <v>632</v>
      </c>
    </row>
    <row r="166" spans="1:13" s="91" customFormat="1" outlineLevel="1" x14ac:dyDescent="0.25">
      <c r="A166" s="260"/>
      <c r="B166" s="261" t="s">
        <v>571</v>
      </c>
      <c r="C166" s="252">
        <v>1187068.2</v>
      </c>
      <c r="D166" s="316">
        <f t="shared" si="28"/>
        <v>1187068.2</v>
      </c>
      <c r="E166" s="250">
        <v>1127714.79</v>
      </c>
      <c r="F166" s="250">
        <v>59353.41</v>
      </c>
      <c r="G166" s="251">
        <f>C166-E166-F166</f>
        <v>-8.7311491370201111E-11</v>
      </c>
      <c r="H166" s="249">
        <f t="shared" si="24"/>
        <v>1187068.2</v>
      </c>
      <c r="I166" s="250">
        <v>1127714.79</v>
      </c>
      <c r="J166" s="250">
        <v>59353.41</v>
      </c>
      <c r="K166" s="251">
        <v>0</v>
      </c>
      <c r="L166" s="262" t="s">
        <v>761</v>
      </c>
      <c r="M166" s="597">
        <v>42552</v>
      </c>
    </row>
    <row r="167" spans="1:13" s="91" customFormat="1" outlineLevel="1" x14ac:dyDescent="0.25">
      <c r="A167" s="260"/>
      <c r="B167" s="261" t="s">
        <v>555</v>
      </c>
      <c r="C167" s="252">
        <v>2357433.5</v>
      </c>
      <c r="D167" s="316">
        <f t="shared" si="28"/>
        <v>2357433.5</v>
      </c>
      <c r="E167" s="250">
        <v>1378323.4870261168</v>
      </c>
      <c r="F167" s="250">
        <v>117037.49071864114</v>
      </c>
      <c r="G167" s="251">
        <v>862072.52225524199</v>
      </c>
      <c r="H167" s="249">
        <f t="shared" si="24"/>
        <v>0</v>
      </c>
      <c r="I167" s="250"/>
      <c r="J167" s="250"/>
      <c r="K167" s="251"/>
      <c r="L167" s="262" t="s">
        <v>858</v>
      </c>
      <c r="M167" s="597">
        <v>42656</v>
      </c>
    </row>
    <row r="168" spans="1:13" s="91" customFormat="1" outlineLevel="1" x14ac:dyDescent="0.25">
      <c r="A168" s="260"/>
      <c r="B168" s="261" t="s">
        <v>554</v>
      </c>
      <c r="C168" s="252">
        <v>67688.11</v>
      </c>
      <c r="D168" s="316">
        <f t="shared" si="28"/>
        <v>67688.11</v>
      </c>
      <c r="E168" s="250">
        <v>56658.337989882581</v>
      </c>
      <c r="F168" s="250">
        <v>3384.4022813588995</v>
      </c>
      <c r="G168" s="251">
        <v>7645.3697287585301</v>
      </c>
      <c r="H168" s="249">
        <f t="shared" si="24"/>
        <v>67688.11</v>
      </c>
      <c r="I168" s="250">
        <v>56658.34</v>
      </c>
      <c r="J168" s="250">
        <v>3384.4</v>
      </c>
      <c r="K168" s="251">
        <v>7645.37</v>
      </c>
      <c r="L168" s="262" t="s">
        <v>811</v>
      </c>
      <c r="M168" s="597">
        <v>42604</v>
      </c>
    </row>
    <row r="169" spans="1:13" s="91" customFormat="1" outlineLevel="1" x14ac:dyDescent="0.25">
      <c r="A169" s="260"/>
      <c r="B169" s="261" t="s">
        <v>67</v>
      </c>
      <c r="C169" s="252">
        <v>106296.93</v>
      </c>
      <c r="D169" s="249">
        <f t="shared" si="28"/>
        <v>106296.93</v>
      </c>
      <c r="E169" s="250">
        <f>C169*0.6636</f>
        <v>70538.642747999998</v>
      </c>
      <c r="F169" s="250">
        <f>C169*5%</f>
        <v>5314.8464999999997</v>
      </c>
      <c r="G169" s="251">
        <f>C169-E169-F169</f>
        <v>30443.440751999995</v>
      </c>
      <c r="H169" s="249">
        <f t="shared" si="24"/>
        <v>106296.93000000001</v>
      </c>
      <c r="I169" s="250">
        <v>70538.64</v>
      </c>
      <c r="J169" s="250">
        <v>5314.85</v>
      </c>
      <c r="K169" s="251">
        <v>30443.439999999999</v>
      </c>
      <c r="L169" s="262" t="s">
        <v>620</v>
      </c>
    </row>
    <row r="170" spans="1:13" s="9" customFormat="1" ht="29.25" customHeight="1" x14ac:dyDescent="0.2">
      <c r="A170" s="140">
        <v>30</v>
      </c>
      <c r="B170" s="60" t="s">
        <v>236</v>
      </c>
      <c r="C170" s="63">
        <f>SUM(C171:C178)</f>
        <v>5484307.1799999997</v>
      </c>
      <c r="D170" s="274">
        <f t="shared" si="28"/>
        <v>5484307.1800000016</v>
      </c>
      <c r="E170" s="75">
        <f>SUM(E171:E178)</f>
        <v>4582025.2655283222</v>
      </c>
      <c r="F170" s="75">
        <f>SUM(F171:F178)</f>
        <v>275767.2602659376</v>
      </c>
      <c r="G170" s="80">
        <f>SUM(G171:G178)</f>
        <v>626514.6542057409</v>
      </c>
      <c r="H170" s="40">
        <f t="shared" si="24"/>
        <v>5463570.5699999994</v>
      </c>
      <c r="I170" s="75">
        <f>SUM(I171:I178)</f>
        <v>4571675.6599999992</v>
      </c>
      <c r="J170" s="75">
        <f>SUM(J171:J178)</f>
        <v>274730.44000000006</v>
      </c>
      <c r="K170" s="80">
        <f>SUM(K171:K178)</f>
        <v>617164.46999999986</v>
      </c>
      <c r="L170" s="79"/>
    </row>
    <row r="171" spans="1:13" s="91" customFormat="1" outlineLevel="1" x14ac:dyDescent="0.25">
      <c r="A171" s="260"/>
      <c r="B171" s="261" t="s">
        <v>68</v>
      </c>
      <c r="C171" s="252">
        <v>554316.66999999993</v>
      </c>
      <c r="D171" s="316">
        <f t="shared" si="28"/>
        <v>554316.67000000004</v>
      </c>
      <c r="E171" s="250">
        <f>392501.51+17411.75</f>
        <v>409913.26</v>
      </c>
      <c r="F171" s="250">
        <f>26678.99+1036.83</f>
        <v>27715.82</v>
      </c>
      <c r="G171" s="251">
        <f>114399.56+2288.03</f>
        <v>116687.59</v>
      </c>
      <c r="H171" s="249">
        <f>SUM(I171:K171)</f>
        <v>533580.06000000006</v>
      </c>
      <c r="I171" s="250">
        <v>392501.51</v>
      </c>
      <c r="J171" s="250">
        <v>26678.99</v>
      </c>
      <c r="K171" s="251">
        <v>114399.56</v>
      </c>
      <c r="L171" s="262" t="s">
        <v>687</v>
      </c>
      <c r="M171" s="597">
        <v>42607</v>
      </c>
    </row>
    <row r="172" spans="1:13" s="91" customFormat="1" outlineLevel="1" x14ac:dyDescent="0.25">
      <c r="A172" s="260"/>
      <c r="B172" s="261" t="s">
        <v>64</v>
      </c>
      <c r="C172" s="252">
        <v>3392175.19</v>
      </c>
      <c r="D172" s="316">
        <f t="shared" si="28"/>
        <v>3392175.1900000004</v>
      </c>
      <c r="E172" s="250">
        <v>2870095.092126946</v>
      </c>
      <c r="F172" s="250">
        <v>171160.67192425372</v>
      </c>
      <c r="G172" s="251">
        <v>350919.42594880029</v>
      </c>
      <c r="H172" s="249">
        <f>SUM(I172:K172)</f>
        <v>3392175.19</v>
      </c>
      <c r="I172" s="250">
        <v>2870095.09</v>
      </c>
      <c r="J172" s="250">
        <v>171160.67</v>
      </c>
      <c r="K172" s="251">
        <v>350919.43</v>
      </c>
      <c r="L172" s="262" t="s">
        <v>632</v>
      </c>
      <c r="M172" s="597">
        <v>42561</v>
      </c>
    </row>
    <row r="173" spans="1:13" s="91" customFormat="1" outlineLevel="1" x14ac:dyDescent="0.25">
      <c r="A173" s="260"/>
      <c r="B173" s="261" t="s">
        <v>65</v>
      </c>
      <c r="C173" s="252">
        <f>306531.9+6045.18</f>
        <v>312577.08</v>
      </c>
      <c r="D173" s="316">
        <f t="shared" si="28"/>
        <v>312577.08</v>
      </c>
      <c r="E173" s="250">
        <f>C173*0.7356</f>
        <v>229931.70004800003</v>
      </c>
      <c r="F173" s="250">
        <f>C173*5%</f>
        <v>15628.854000000001</v>
      </c>
      <c r="G173" s="251">
        <f>C173-E173-F173</f>
        <v>67016.525951999982</v>
      </c>
      <c r="H173" s="249">
        <f t="shared" si="24"/>
        <v>312577.08</v>
      </c>
      <c r="I173" s="250">
        <v>233699.98</v>
      </c>
      <c r="J173" s="250">
        <v>15628.86</v>
      </c>
      <c r="K173" s="251">
        <v>63248.24</v>
      </c>
      <c r="L173" s="262" t="s">
        <v>632</v>
      </c>
    </row>
    <row r="174" spans="1:13" s="91" customFormat="1" outlineLevel="1" x14ac:dyDescent="0.25">
      <c r="A174" s="260"/>
      <c r="B174" s="261" t="s">
        <v>66</v>
      </c>
      <c r="C174" s="252">
        <f>268269.81+4954.77</f>
        <v>273224.58</v>
      </c>
      <c r="D174" s="316">
        <f t="shared" si="28"/>
        <v>273224.58</v>
      </c>
      <c r="E174" s="250">
        <f>C174*0.7356</f>
        <v>200984.00104800003</v>
      </c>
      <c r="F174" s="250">
        <f>C174*5%</f>
        <v>13661.229000000001</v>
      </c>
      <c r="G174" s="251">
        <f>C174-E174-F174</f>
        <v>58579.349951999982</v>
      </c>
      <c r="H174" s="249">
        <f t="shared" si="24"/>
        <v>273224.58</v>
      </c>
      <c r="I174" s="250">
        <v>204277.87</v>
      </c>
      <c r="J174" s="250">
        <v>13661.23</v>
      </c>
      <c r="K174" s="251">
        <v>55285.48</v>
      </c>
      <c r="L174" s="262" t="s">
        <v>632</v>
      </c>
    </row>
    <row r="175" spans="1:13" s="91" customFormat="1" outlineLevel="1" x14ac:dyDescent="0.25">
      <c r="A175" s="260"/>
      <c r="B175" s="261" t="s">
        <v>571</v>
      </c>
      <c r="C175" s="252">
        <v>807712.36</v>
      </c>
      <c r="D175" s="316">
        <f t="shared" si="28"/>
        <v>807712.36</v>
      </c>
      <c r="E175" s="250">
        <v>767326.74</v>
      </c>
      <c r="F175" s="250">
        <v>40385.620000000003</v>
      </c>
      <c r="G175" s="251">
        <f>C175-E175-F175</f>
        <v>0</v>
      </c>
      <c r="H175" s="249">
        <f t="shared" si="24"/>
        <v>807712.36</v>
      </c>
      <c r="I175" s="250">
        <v>767326.74</v>
      </c>
      <c r="J175" s="250">
        <v>40385.620000000003</v>
      </c>
      <c r="K175" s="251">
        <v>0</v>
      </c>
      <c r="L175" s="262" t="s">
        <v>761</v>
      </c>
      <c r="M175" s="597">
        <v>42551</v>
      </c>
    </row>
    <row r="176" spans="1:13" outlineLevel="1" x14ac:dyDescent="0.25">
      <c r="A176" s="10"/>
      <c r="B176" s="43" t="s">
        <v>555</v>
      </c>
      <c r="C176" s="47"/>
      <c r="D176" s="53"/>
      <c r="E176" s="72"/>
      <c r="F176" s="72"/>
      <c r="G176" s="92"/>
      <c r="H176" s="42">
        <f t="shared" si="24"/>
        <v>0</v>
      </c>
      <c r="I176" s="72"/>
      <c r="J176" s="72"/>
      <c r="K176" s="92"/>
      <c r="L176" s="57"/>
    </row>
    <row r="177" spans="1:13" s="91" customFormat="1" outlineLevel="1" x14ac:dyDescent="0.25">
      <c r="A177" s="260"/>
      <c r="B177" s="261" t="s">
        <v>554</v>
      </c>
      <c r="C177" s="252">
        <v>46215.79</v>
      </c>
      <c r="D177" s="316">
        <f t="shared" si="28"/>
        <v>46215.79</v>
      </c>
      <c r="E177" s="250">
        <v>38684.927869375424</v>
      </c>
      <c r="F177" s="250">
        <v>2310.7898416838611</v>
      </c>
      <c r="G177" s="251">
        <v>5220.0722889407198</v>
      </c>
      <c r="H177" s="249">
        <f t="shared" si="24"/>
        <v>46215.79</v>
      </c>
      <c r="I177" s="250">
        <v>38684.93</v>
      </c>
      <c r="J177" s="250">
        <v>2310.79</v>
      </c>
      <c r="K177" s="251">
        <v>5220.07</v>
      </c>
      <c r="L177" s="262" t="s">
        <v>811</v>
      </c>
      <c r="M177" s="597">
        <v>42604</v>
      </c>
    </row>
    <row r="178" spans="1:13" s="91" customFormat="1" outlineLevel="1" x14ac:dyDescent="0.25">
      <c r="A178" s="260"/>
      <c r="B178" s="261" t="s">
        <v>67</v>
      </c>
      <c r="C178" s="252">
        <v>98085.51</v>
      </c>
      <c r="D178" s="249">
        <f>SUM(E178:G178)</f>
        <v>98085.51</v>
      </c>
      <c r="E178" s="250">
        <f>C178*0.6636</f>
        <v>65089.544435999996</v>
      </c>
      <c r="F178" s="250">
        <f>C178*5%</f>
        <v>4904.2754999999997</v>
      </c>
      <c r="G178" s="251">
        <f>C178-E178-F178</f>
        <v>28091.690063999999</v>
      </c>
      <c r="H178" s="249">
        <f t="shared" si="24"/>
        <v>98085.510000000009</v>
      </c>
      <c r="I178" s="250">
        <v>65089.54</v>
      </c>
      <c r="J178" s="250">
        <v>4904.28</v>
      </c>
      <c r="K178" s="251">
        <v>28091.69</v>
      </c>
      <c r="L178" s="262" t="s">
        <v>620</v>
      </c>
    </row>
    <row r="179" spans="1:13" s="395" customFormat="1" ht="22.5" customHeight="1" x14ac:dyDescent="0.2">
      <c r="A179" s="391">
        <v>31</v>
      </c>
      <c r="B179" s="392" t="s">
        <v>237</v>
      </c>
      <c r="C179" s="290">
        <f>SUM(C180:C186)</f>
        <v>5454966.8199999994</v>
      </c>
      <c r="D179" s="288">
        <f>SUM(E179:G179)</f>
        <v>5454966.8199999994</v>
      </c>
      <c r="E179" s="289">
        <f>SUM(E180:E186)</f>
        <v>4557471.1892349757</v>
      </c>
      <c r="F179" s="289">
        <f>SUM(F180:F186)</f>
        <v>274294.95873402408</v>
      </c>
      <c r="G179" s="247">
        <f>SUM(G180:G186)</f>
        <v>623200.67203099967</v>
      </c>
      <c r="H179" s="288">
        <f t="shared" si="24"/>
        <v>5434230.21</v>
      </c>
      <c r="I179" s="289">
        <f>SUM(I180:I186)</f>
        <v>4547121.8900000006</v>
      </c>
      <c r="J179" s="289">
        <f>SUM(J180:J186)</f>
        <v>273258.14</v>
      </c>
      <c r="K179" s="247">
        <f>SUM(K180:K186)</f>
        <v>613850.17999999993</v>
      </c>
      <c r="L179" s="394"/>
    </row>
    <row r="180" spans="1:13" s="91" customFormat="1" outlineLevel="1" x14ac:dyDescent="0.25">
      <c r="A180" s="260"/>
      <c r="B180" s="261" t="s">
        <v>68</v>
      </c>
      <c r="C180" s="252">
        <v>554316.66999999993</v>
      </c>
      <c r="D180" s="316">
        <f t="shared" ref="D180:D185" si="31">SUM(E180:G180)</f>
        <v>554316.67000000004</v>
      </c>
      <c r="E180" s="250">
        <f>392501.49+17411.46</f>
        <v>409912.95</v>
      </c>
      <c r="F180" s="250">
        <f>26678.99+1036.83</f>
        <v>27715.82</v>
      </c>
      <c r="G180" s="251">
        <f>114399.58+2288.32</f>
        <v>116687.90000000001</v>
      </c>
      <c r="H180" s="249">
        <f>SUM(I180:K180)</f>
        <v>533580.05999999994</v>
      </c>
      <c r="I180" s="250">
        <v>392501.49</v>
      </c>
      <c r="J180" s="250">
        <v>26678.99</v>
      </c>
      <c r="K180" s="251">
        <v>114399.58</v>
      </c>
      <c r="L180" s="262" t="s">
        <v>687</v>
      </c>
      <c r="M180" s="597">
        <v>42607</v>
      </c>
    </row>
    <row r="181" spans="1:13" s="91" customFormat="1" outlineLevel="1" x14ac:dyDescent="0.25">
      <c r="A181" s="260"/>
      <c r="B181" s="261" t="s">
        <v>64</v>
      </c>
      <c r="C181" s="252">
        <v>3366007.7399999998</v>
      </c>
      <c r="D181" s="316">
        <f t="shared" si="31"/>
        <v>3366007.7399999993</v>
      </c>
      <c r="E181" s="250">
        <v>2848084.288246775</v>
      </c>
      <c r="F181" s="250">
        <v>169847.01973402422</v>
      </c>
      <c r="G181" s="251">
        <v>348076.43201920018</v>
      </c>
      <c r="H181" s="249">
        <f>SUM(I181:K181)</f>
        <v>3366007.74</v>
      </c>
      <c r="I181" s="250">
        <v>2848084.29</v>
      </c>
      <c r="J181" s="250">
        <v>169847.02</v>
      </c>
      <c r="K181" s="251">
        <v>348076.43</v>
      </c>
      <c r="L181" s="262" t="s">
        <v>632</v>
      </c>
      <c r="M181" s="597">
        <v>42561</v>
      </c>
    </row>
    <row r="182" spans="1:13" s="91" customFormat="1" outlineLevel="1" x14ac:dyDescent="0.25">
      <c r="A182" s="260"/>
      <c r="B182" s="261" t="s">
        <v>65</v>
      </c>
      <c r="C182" s="252">
        <f>306810.25+5861.11</f>
        <v>312671.35999999999</v>
      </c>
      <c r="D182" s="316">
        <f t="shared" si="31"/>
        <v>312671.35999999999</v>
      </c>
      <c r="E182" s="250">
        <f>C182*0.7356</f>
        <v>230001.05241599999</v>
      </c>
      <c r="F182" s="250">
        <f>C182*5%</f>
        <v>15633.567999999999</v>
      </c>
      <c r="G182" s="251">
        <f>C182-E182-F182</f>
        <v>67036.739583999995</v>
      </c>
      <c r="H182" s="249">
        <f t="shared" si="24"/>
        <v>312671.35999999999</v>
      </c>
      <c r="I182" s="250">
        <v>233783.38</v>
      </c>
      <c r="J182" s="250">
        <v>15633.57</v>
      </c>
      <c r="K182" s="251">
        <v>63254.41</v>
      </c>
      <c r="L182" s="262" t="s">
        <v>632</v>
      </c>
    </row>
    <row r="183" spans="1:13" s="91" customFormat="1" outlineLevel="1" x14ac:dyDescent="0.25">
      <c r="A183" s="260"/>
      <c r="B183" s="261" t="s">
        <v>66</v>
      </c>
      <c r="C183" s="252">
        <f>266177.04+4954.77</f>
        <v>271131.81</v>
      </c>
      <c r="D183" s="316">
        <f t="shared" si="31"/>
        <v>271131.81</v>
      </c>
      <c r="E183" s="250">
        <f>C183*0.7356</f>
        <v>199444.55943600001</v>
      </c>
      <c r="F183" s="250">
        <f>C183*5%</f>
        <v>13556.5905</v>
      </c>
      <c r="G183" s="251">
        <f>C183-E183-F183</f>
        <v>58130.660063999989</v>
      </c>
      <c r="H183" s="249">
        <f t="shared" si="24"/>
        <v>271131.81</v>
      </c>
      <c r="I183" s="250">
        <v>202724.39</v>
      </c>
      <c r="J183" s="250">
        <v>13556.6</v>
      </c>
      <c r="K183" s="251">
        <v>54850.82</v>
      </c>
      <c r="L183" s="262" t="s">
        <v>632</v>
      </c>
    </row>
    <row r="184" spans="1:13" s="91" customFormat="1" outlineLevel="1" x14ac:dyDescent="0.25">
      <c r="A184" s="260"/>
      <c r="B184" s="261" t="s">
        <v>571</v>
      </c>
      <c r="C184" s="252">
        <v>806917.03999999992</v>
      </c>
      <c r="D184" s="316">
        <f t="shared" si="31"/>
        <v>806917.03999999992</v>
      </c>
      <c r="E184" s="250">
        <v>766571.19</v>
      </c>
      <c r="F184" s="250">
        <v>40345.85</v>
      </c>
      <c r="G184" s="251">
        <f>C184-E184-F184</f>
        <v>0</v>
      </c>
      <c r="H184" s="249">
        <f t="shared" si="24"/>
        <v>806917.03999999992</v>
      </c>
      <c r="I184" s="250">
        <v>766571.19</v>
      </c>
      <c r="J184" s="250">
        <v>40345.85</v>
      </c>
      <c r="K184" s="251">
        <v>0</v>
      </c>
      <c r="L184" s="262" t="s">
        <v>761</v>
      </c>
      <c r="M184" s="597">
        <v>42559</v>
      </c>
    </row>
    <row r="185" spans="1:13" s="91" customFormat="1" outlineLevel="1" x14ac:dyDescent="0.25">
      <c r="A185" s="260"/>
      <c r="B185" s="261" t="s">
        <v>554</v>
      </c>
      <c r="C185" s="252">
        <v>45836.69</v>
      </c>
      <c r="D185" s="316">
        <f t="shared" si="31"/>
        <v>45836.69000000001</v>
      </c>
      <c r="E185" s="250">
        <v>38367.604700200456</v>
      </c>
      <c r="F185" s="250">
        <v>2291.8349999999164</v>
      </c>
      <c r="G185" s="251">
        <v>5177.2502997996316</v>
      </c>
      <c r="H185" s="249">
        <f t="shared" si="24"/>
        <v>45836.69</v>
      </c>
      <c r="I185" s="250">
        <v>38367.61</v>
      </c>
      <c r="J185" s="250">
        <v>2291.83</v>
      </c>
      <c r="K185" s="251">
        <v>5177.25</v>
      </c>
      <c r="L185" s="262" t="s">
        <v>811</v>
      </c>
      <c r="M185" s="597">
        <v>42604</v>
      </c>
    </row>
    <row r="186" spans="1:13" s="91" customFormat="1" outlineLevel="1" x14ac:dyDescent="0.25">
      <c r="A186" s="260"/>
      <c r="B186" s="261" t="s">
        <v>67</v>
      </c>
      <c r="C186" s="252">
        <v>98085.51</v>
      </c>
      <c r="D186" s="249">
        <f>SUM(E186:G186)</f>
        <v>98085.51</v>
      </c>
      <c r="E186" s="250">
        <f>C186*0.6636</f>
        <v>65089.544435999996</v>
      </c>
      <c r="F186" s="250">
        <f>C186*5%</f>
        <v>4904.2754999999997</v>
      </c>
      <c r="G186" s="251">
        <f>C186-E186-F186</f>
        <v>28091.690063999999</v>
      </c>
      <c r="H186" s="249">
        <f t="shared" si="24"/>
        <v>98085.510000000009</v>
      </c>
      <c r="I186" s="250">
        <v>65089.54</v>
      </c>
      <c r="J186" s="250">
        <v>4904.28</v>
      </c>
      <c r="K186" s="251">
        <v>28091.69</v>
      </c>
      <c r="L186" s="262" t="s">
        <v>620</v>
      </c>
    </row>
    <row r="187" spans="1:13" s="9" customFormat="1" ht="21.75" customHeight="1" x14ac:dyDescent="0.2">
      <c r="A187" s="140">
        <v>32</v>
      </c>
      <c r="B187" s="60" t="s">
        <v>238</v>
      </c>
      <c r="C187" s="63">
        <f>SUM(C188:C195)</f>
        <v>7478598.0199999986</v>
      </c>
      <c r="D187" s="274">
        <f>SUM(E187:G187)</f>
        <v>7478598.0199999977</v>
      </c>
      <c r="E187" s="75">
        <f>SUM(E188:E195)</f>
        <v>5501658.4342304254</v>
      </c>
      <c r="F187" s="75">
        <f>SUM(F188:F195)</f>
        <v>374844.24433865526</v>
      </c>
      <c r="G187" s="80">
        <f>SUM(G188:G195)</f>
        <v>1602095.3414309169</v>
      </c>
      <c r="H187" s="40">
        <f t="shared" si="24"/>
        <v>7457861.4099999983</v>
      </c>
      <c r="I187" s="75">
        <f>SUM(I188:I195)</f>
        <v>6241614.6499999985</v>
      </c>
      <c r="J187" s="75">
        <f>SUM(J188:J195)</f>
        <v>373807.39</v>
      </c>
      <c r="K187" s="80">
        <f>SUM(K188:K195)</f>
        <v>842439.37000000011</v>
      </c>
      <c r="L187" s="79"/>
    </row>
    <row r="188" spans="1:13" s="91" customFormat="1" outlineLevel="1" x14ac:dyDescent="0.25">
      <c r="A188" s="260"/>
      <c r="B188" s="261" t="s">
        <v>68</v>
      </c>
      <c r="C188" s="252">
        <v>668014.68999999994</v>
      </c>
      <c r="D188" s="316">
        <f t="shared" ref="D188:D189" si="32">SUM(E188:G188)</f>
        <v>668014.69000000006</v>
      </c>
      <c r="E188" s="250">
        <f>476137.76+17434.17</f>
        <v>493571.93</v>
      </c>
      <c r="F188" s="250">
        <f>32363.9+1036.83</f>
        <v>33400.730000000003</v>
      </c>
      <c r="G188" s="251">
        <f>138776.42+2265.61</f>
        <v>141042.03</v>
      </c>
      <c r="H188" s="249">
        <f>SUM(I188:K188)</f>
        <v>647278.08000000007</v>
      </c>
      <c r="I188" s="250">
        <v>476137.76</v>
      </c>
      <c r="J188" s="250">
        <v>32363.9</v>
      </c>
      <c r="K188" s="251">
        <v>138776.42000000001</v>
      </c>
      <c r="L188" s="262" t="s">
        <v>687</v>
      </c>
      <c r="M188" s="597">
        <v>42607</v>
      </c>
    </row>
    <row r="189" spans="1:13" s="91" customFormat="1" outlineLevel="1" x14ac:dyDescent="0.25">
      <c r="A189" s="260"/>
      <c r="B189" s="261" t="s">
        <v>64</v>
      </c>
      <c r="C189" s="252">
        <v>4776700.34</v>
      </c>
      <c r="D189" s="316">
        <f t="shared" si="32"/>
        <v>4776700.339999998</v>
      </c>
      <c r="E189" s="250">
        <v>3265954.0707729403</v>
      </c>
      <c r="F189" s="250">
        <v>239749.36690705884</v>
      </c>
      <c r="G189" s="251">
        <v>1270996.9023199994</v>
      </c>
      <c r="H189" s="249">
        <f>SUM(I189:K189)</f>
        <v>4776700.34</v>
      </c>
      <c r="I189" s="250">
        <v>4015933.75</v>
      </c>
      <c r="J189" s="250">
        <v>239749.37</v>
      </c>
      <c r="K189" s="251">
        <v>521017.22</v>
      </c>
      <c r="L189" s="262" t="s">
        <v>632</v>
      </c>
      <c r="M189" s="597">
        <v>42561</v>
      </c>
    </row>
    <row r="190" spans="1:13" s="91" customFormat="1" outlineLevel="1" x14ac:dyDescent="0.25">
      <c r="A190" s="260"/>
      <c r="B190" s="261" t="s">
        <v>65</v>
      </c>
      <c r="C190" s="252">
        <f>362035.61+5861.11</f>
        <v>367896.72</v>
      </c>
      <c r="D190" s="316">
        <f t="shared" ref="D190:D192" si="33">SUM(E190:G190)</f>
        <v>367896.72</v>
      </c>
      <c r="E190" s="250">
        <f>C190*0.7356</f>
        <v>270624.82723200001</v>
      </c>
      <c r="F190" s="250">
        <f>C190*5%</f>
        <v>18394.835999999999</v>
      </c>
      <c r="G190" s="251">
        <f>C190-E190-F190</f>
        <v>78877.056767999966</v>
      </c>
      <c r="H190" s="249">
        <f t="shared" si="24"/>
        <v>367896.72000000003</v>
      </c>
      <c r="I190" s="250">
        <v>274438.09000000003</v>
      </c>
      <c r="J190" s="250">
        <v>18394.830000000002</v>
      </c>
      <c r="K190" s="251">
        <v>75063.8</v>
      </c>
      <c r="L190" s="262" t="s">
        <v>632</v>
      </c>
    </row>
    <row r="191" spans="1:13" s="91" customFormat="1" outlineLevel="1" x14ac:dyDescent="0.25">
      <c r="A191" s="260"/>
      <c r="B191" s="261" t="s">
        <v>66</v>
      </c>
      <c r="C191" s="252">
        <f>340202.25+6872.01</f>
        <v>347074.26</v>
      </c>
      <c r="D191" s="316">
        <f t="shared" si="33"/>
        <v>347074.26</v>
      </c>
      <c r="E191" s="250">
        <f>C191*0.7356</f>
        <v>255307.82565600003</v>
      </c>
      <c r="F191" s="250">
        <f>C191*5%</f>
        <v>17353.713</v>
      </c>
      <c r="G191" s="251">
        <f>C191-E191-F191</f>
        <v>74412.721343999976</v>
      </c>
      <c r="H191" s="249">
        <f t="shared" si="24"/>
        <v>347074.25999999995</v>
      </c>
      <c r="I191" s="250">
        <v>258905.27</v>
      </c>
      <c r="J191" s="250">
        <v>17353.689999999999</v>
      </c>
      <c r="K191" s="251">
        <v>70815.3</v>
      </c>
      <c r="L191" s="262" t="s">
        <v>632</v>
      </c>
    </row>
    <row r="192" spans="1:13" s="91" customFormat="1" outlineLevel="1" x14ac:dyDescent="0.25">
      <c r="A192" s="260"/>
      <c r="B192" s="261" t="s">
        <v>571</v>
      </c>
      <c r="C192" s="252">
        <v>1151456.98</v>
      </c>
      <c r="D192" s="316">
        <f t="shared" si="33"/>
        <v>1151456.98</v>
      </c>
      <c r="E192" s="250">
        <v>1093884.1299999999</v>
      </c>
      <c r="F192" s="250">
        <v>57572.85</v>
      </c>
      <c r="G192" s="251">
        <f>C192-E192-F192</f>
        <v>9.4587448984384537E-11</v>
      </c>
      <c r="H192" s="249">
        <f t="shared" si="24"/>
        <v>1151456.98</v>
      </c>
      <c r="I192" s="250">
        <v>1093884.1299999999</v>
      </c>
      <c r="J192" s="250">
        <v>57572.85</v>
      </c>
      <c r="K192" s="251">
        <v>0</v>
      </c>
      <c r="L192" s="262" t="s">
        <v>761</v>
      </c>
      <c r="M192" s="597">
        <v>42566</v>
      </c>
    </row>
    <row r="193" spans="1:13" outlineLevel="1" x14ac:dyDescent="0.25">
      <c r="A193" s="10"/>
      <c r="B193" s="43" t="s">
        <v>555</v>
      </c>
      <c r="C193" s="47"/>
      <c r="D193" s="53"/>
      <c r="E193" s="72"/>
      <c r="F193" s="72"/>
      <c r="G193" s="92"/>
      <c r="H193" s="42">
        <f t="shared" ref="H193:H210" si="34">SUM(I193:K193)</f>
        <v>0</v>
      </c>
      <c r="I193" s="72"/>
      <c r="J193" s="72"/>
      <c r="K193" s="92"/>
      <c r="L193" s="57"/>
    </row>
    <row r="194" spans="1:13" s="91" customFormat="1" outlineLevel="1" x14ac:dyDescent="0.25">
      <c r="A194" s="260"/>
      <c r="B194" s="261" t="s">
        <v>554</v>
      </c>
      <c r="C194" s="252">
        <v>64528.61</v>
      </c>
      <c r="D194" s="316">
        <f>SUM(E194:G194)</f>
        <v>64528.61</v>
      </c>
      <c r="E194" s="250">
        <v>54013.678257485939</v>
      </c>
      <c r="F194" s="250">
        <v>3226.4274315964603</v>
      </c>
      <c r="G194" s="251">
        <v>7288.504310917604</v>
      </c>
      <c r="H194" s="249">
        <f t="shared" si="34"/>
        <v>64528.61</v>
      </c>
      <c r="I194" s="250">
        <v>54013.68</v>
      </c>
      <c r="J194" s="250">
        <v>3226.43</v>
      </c>
      <c r="K194" s="251">
        <v>7288.5</v>
      </c>
      <c r="L194" s="262" t="s">
        <v>811</v>
      </c>
      <c r="M194" s="597">
        <v>42604</v>
      </c>
    </row>
    <row r="195" spans="1:13" s="91" customFormat="1" outlineLevel="1" x14ac:dyDescent="0.25">
      <c r="A195" s="260"/>
      <c r="B195" s="261" t="s">
        <v>67</v>
      </c>
      <c r="C195" s="252">
        <v>102926.42</v>
      </c>
      <c r="D195" s="249">
        <f>SUM(E195:G195)</f>
        <v>102926.42</v>
      </c>
      <c r="E195" s="250">
        <f>C195*0.6636</f>
        <v>68301.972311999998</v>
      </c>
      <c r="F195" s="250">
        <f>C195*5%</f>
        <v>5146.3209999999999</v>
      </c>
      <c r="G195" s="251">
        <f>C195-E195-F195</f>
        <v>29478.126688</v>
      </c>
      <c r="H195" s="249">
        <f t="shared" si="34"/>
        <v>102926.42000000001</v>
      </c>
      <c r="I195" s="250">
        <v>68301.97</v>
      </c>
      <c r="J195" s="250">
        <v>5146.32</v>
      </c>
      <c r="K195" s="251">
        <v>29478.13</v>
      </c>
      <c r="L195" s="262" t="s">
        <v>620</v>
      </c>
    </row>
    <row r="196" spans="1:13" s="9" customFormat="1" ht="30.75" customHeight="1" x14ac:dyDescent="0.2">
      <c r="A196" s="140">
        <v>33</v>
      </c>
      <c r="B196" s="60" t="s">
        <v>570</v>
      </c>
      <c r="C196" s="63">
        <f>SUM(C197:C200)</f>
        <v>157621.22</v>
      </c>
      <c r="D196" s="274">
        <f>SUM(E196:G196)</f>
        <v>157621.22</v>
      </c>
      <c r="E196" s="75">
        <f>SUM(E197:E200)</f>
        <v>115946.16943200001</v>
      </c>
      <c r="F196" s="75">
        <f>SUM(F197:F200)</f>
        <v>7881.0610000000006</v>
      </c>
      <c r="G196" s="80">
        <f>SUM(G197:G200)</f>
        <v>33793.98956799999</v>
      </c>
      <c r="H196" s="40">
        <f t="shared" si="34"/>
        <v>157621.22</v>
      </c>
      <c r="I196" s="75">
        <f>SUM(I197:I200)</f>
        <v>115946.17</v>
      </c>
      <c r="J196" s="75">
        <f>SUM(J197:J200)</f>
        <v>7881.06</v>
      </c>
      <c r="K196" s="80">
        <f>SUM(K197:K200)</f>
        <v>33793.99</v>
      </c>
      <c r="L196" s="79"/>
    </row>
    <row r="197" spans="1:13" outlineLevel="1" x14ac:dyDescent="0.25">
      <c r="A197" s="10"/>
      <c r="B197" s="43" t="s">
        <v>555</v>
      </c>
      <c r="C197" s="47"/>
      <c r="D197" s="53"/>
      <c r="E197" s="72"/>
      <c r="F197" s="72"/>
      <c r="G197" s="92"/>
      <c r="H197" s="42">
        <f t="shared" si="34"/>
        <v>0</v>
      </c>
      <c r="I197" s="72"/>
      <c r="J197" s="72"/>
      <c r="K197" s="92"/>
      <c r="L197" s="57"/>
    </row>
    <row r="198" spans="1:13" outlineLevel="1" x14ac:dyDescent="0.25">
      <c r="A198" s="10"/>
      <c r="B198" s="43" t="s">
        <v>557</v>
      </c>
      <c r="C198" s="47"/>
      <c r="D198" s="53"/>
      <c r="E198" s="72"/>
      <c r="F198" s="72"/>
      <c r="G198" s="92"/>
      <c r="H198" s="42">
        <f t="shared" si="34"/>
        <v>0</v>
      </c>
      <c r="I198" s="72"/>
      <c r="J198" s="72"/>
      <c r="K198" s="92"/>
      <c r="L198" s="57"/>
    </row>
    <row r="199" spans="1:13" outlineLevel="1" x14ac:dyDescent="0.25">
      <c r="A199" s="10"/>
      <c r="B199" s="43" t="s">
        <v>554</v>
      </c>
      <c r="C199" s="47"/>
      <c r="D199" s="53"/>
      <c r="E199" s="72"/>
      <c r="F199" s="72"/>
      <c r="G199" s="92"/>
      <c r="H199" s="42">
        <f t="shared" si="34"/>
        <v>0</v>
      </c>
      <c r="I199" s="72"/>
      <c r="J199" s="72"/>
      <c r="K199" s="92"/>
      <c r="L199" s="57"/>
      <c r="M199" s="642">
        <v>42604</v>
      </c>
    </row>
    <row r="200" spans="1:13" s="91" customFormat="1" outlineLevel="1" x14ac:dyDescent="0.25">
      <c r="A200" s="260"/>
      <c r="B200" s="261" t="s">
        <v>67</v>
      </c>
      <c r="C200" s="252">
        <v>157621.22</v>
      </c>
      <c r="D200" s="316">
        <f>E200+F200+G200</f>
        <v>157621.22</v>
      </c>
      <c r="E200" s="250">
        <f>C200*0.7356</f>
        <v>115946.16943200001</v>
      </c>
      <c r="F200" s="250">
        <f>C200*0.05</f>
        <v>7881.0610000000006</v>
      </c>
      <c r="G200" s="251">
        <f>C200-E200-F200</f>
        <v>33793.98956799999</v>
      </c>
      <c r="H200" s="249">
        <f t="shared" si="34"/>
        <v>157621.22</v>
      </c>
      <c r="I200" s="250">
        <v>115946.17</v>
      </c>
      <c r="J200" s="250">
        <v>7881.06</v>
      </c>
      <c r="K200" s="251">
        <v>33793.99</v>
      </c>
      <c r="L200" s="262" t="s">
        <v>620</v>
      </c>
    </row>
    <row r="201" spans="1:13" s="395" customFormat="1" ht="21.75" customHeight="1" x14ac:dyDescent="0.2">
      <c r="A201" s="391">
        <v>34</v>
      </c>
      <c r="B201" s="392" t="s">
        <v>239</v>
      </c>
      <c r="C201" s="290">
        <f>SUM(C202:C209)</f>
        <v>8461071.3200000003</v>
      </c>
      <c r="D201" s="288">
        <f>SUM(E201:G201)</f>
        <v>8461071.3200000003</v>
      </c>
      <c r="E201" s="289">
        <f>SUM(E202:E209)</f>
        <v>6637676.5680432543</v>
      </c>
      <c r="F201" s="289">
        <f>SUM(F202:F209)</f>
        <v>425757.14164874621</v>
      </c>
      <c r="G201" s="247">
        <f>SUM(G202:G209)</f>
        <v>1397637.6103079999</v>
      </c>
      <c r="H201" s="288">
        <f t="shared" si="34"/>
        <v>7978299.4800000004</v>
      </c>
      <c r="I201" s="289">
        <f>SUM(I202:I209)</f>
        <v>6515701.5600000005</v>
      </c>
      <c r="J201" s="289">
        <f>SUM(J202:J209)</f>
        <v>398858.93</v>
      </c>
      <c r="K201" s="247">
        <f>SUM(K202:K209)</f>
        <v>1063738.99</v>
      </c>
      <c r="L201" s="394"/>
    </row>
    <row r="202" spans="1:13" s="91" customFormat="1" outlineLevel="1" x14ac:dyDescent="0.25">
      <c r="A202" s="267"/>
      <c r="B202" s="261" t="s">
        <v>68</v>
      </c>
      <c r="C202" s="268">
        <v>482771.84</v>
      </c>
      <c r="D202" s="316">
        <f t="shared" ref="D202:D207" si="35">E202+F202+G202</f>
        <v>482771.84</v>
      </c>
      <c r="E202" s="250">
        <v>455873.62793919543</v>
      </c>
      <c r="F202" s="250">
        <v>26898.212060804581</v>
      </c>
      <c r="G202" s="319">
        <v>0</v>
      </c>
      <c r="H202" s="317"/>
      <c r="I202" s="318"/>
      <c r="J202" s="318"/>
      <c r="K202" s="319"/>
      <c r="L202" s="262" t="s">
        <v>687</v>
      </c>
      <c r="M202" s="597">
        <v>42537</v>
      </c>
    </row>
    <row r="203" spans="1:13" s="91" customFormat="1" outlineLevel="1" x14ac:dyDescent="0.25">
      <c r="A203" s="267"/>
      <c r="B203" s="261" t="s">
        <v>64</v>
      </c>
      <c r="C203" s="268">
        <v>2244248.6</v>
      </c>
      <c r="D203" s="316">
        <f t="shared" si="35"/>
        <v>2244248.6</v>
      </c>
      <c r="E203" s="250">
        <f>C203*0.8041</f>
        <v>1804600.2992600002</v>
      </c>
      <c r="F203" s="250">
        <f>C203*5%</f>
        <v>112212.43000000001</v>
      </c>
      <c r="G203" s="251">
        <f>C203-E203-F203</f>
        <v>327435.87073999987</v>
      </c>
      <c r="H203" s="317">
        <f t="shared" si="34"/>
        <v>2244248.6</v>
      </c>
      <c r="I203" s="318">
        <v>2132036.17</v>
      </c>
      <c r="J203" s="318">
        <v>112212.43</v>
      </c>
      <c r="K203" s="319">
        <v>0</v>
      </c>
      <c r="L203" s="262" t="s">
        <v>631</v>
      </c>
    </row>
    <row r="204" spans="1:13" s="91" customFormat="1" outlineLevel="1" x14ac:dyDescent="0.25">
      <c r="A204" s="267"/>
      <c r="B204" s="261" t="s">
        <v>65</v>
      </c>
      <c r="C204" s="268">
        <f>255913.92+3746.12</f>
        <v>259660.04</v>
      </c>
      <c r="D204" s="316">
        <f t="shared" si="35"/>
        <v>259660.04</v>
      </c>
      <c r="E204" s="250">
        <f>C204*0.7356</f>
        <v>191005.92542400002</v>
      </c>
      <c r="F204" s="250">
        <f>C204*5%</f>
        <v>12983.002</v>
      </c>
      <c r="G204" s="251">
        <f>C204-E204-F204</f>
        <v>55671.112575999992</v>
      </c>
      <c r="H204" s="317">
        <f t="shared" si="34"/>
        <v>259660.04</v>
      </c>
      <c r="I204" s="318">
        <v>193796.5</v>
      </c>
      <c r="J204" s="318">
        <v>12983</v>
      </c>
      <c r="K204" s="319">
        <v>52880.54</v>
      </c>
      <c r="L204" s="262" t="s">
        <v>631</v>
      </c>
    </row>
    <row r="205" spans="1:13" s="91" customFormat="1" outlineLevel="1" x14ac:dyDescent="0.25">
      <c r="A205" s="267"/>
      <c r="B205" s="261" t="s">
        <v>66</v>
      </c>
      <c r="C205" s="268">
        <f>300789.11+5364.32+35538.26</f>
        <v>341691.69</v>
      </c>
      <c r="D205" s="316">
        <f t="shared" si="35"/>
        <v>341691.69000000006</v>
      </c>
      <c r="E205" s="250">
        <f>C205*0.7356</f>
        <v>251348.407164</v>
      </c>
      <c r="F205" s="250">
        <f>C205*5%</f>
        <v>17084.584500000001</v>
      </c>
      <c r="G205" s="251">
        <f>C205-E205-F205</f>
        <v>73258.698336000001</v>
      </c>
      <c r="H205" s="317">
        <f t="shared" si="34"/>
        <v>341691.68999999994</v>
      </c>
      <c r="I205" s="318">
        <v>255020.58</v>
      </c>
      <c r="J205" s="318">
        <v>17084.580000000002</v>
      </c>
      <c r="K205" s="319">
        <v>69586.53</v>
      </c>
      <c r="L205" s="262" t="s">
        <v>631</v>
      </c>
    </row>
    <row r="206" spans="1:13" s="91" customFormat="1" outlineLevel="1" x14ac:dyDescent="0.25">
      <c r="A206" s="267"/>
      <c r="B206" s="261" t="s">
        <v>571</v>
      </c>
      <c r="C206" s="268">
        <v>741993.44</v>
      </c>
      <c r="D206" s="316">
        <f t="shared" si="35"/>
        <v>741993.44</v>
      </c>
      <c r="E206" s="250">
        <v>704893.77</v>
      </c>
      <c r="F206" s="250">
        <v>37099.67</v>
      </c>
      <c r="G206" s="251">
        <f>C206-E206-F206</f>
        <v>-7.2759576141834259E-11</v>
      </c>
      <c r="H206" s="317">
        <f t="shared" si="34"/>
        <v>741993.44000000006</v>
      </c>
      <c r="I206" s="318">
        <v>704893.77</v>
      </c>
      <c r="J206" s="318">
        <v>37099.67</v>
      </c>
      <c r="K206" s="319">
        <v>0</v>
      </c>
      <c r="L206" s="262" t="s">
        <v>761</v>
      </c>
      <c r="M206" s="597">
        <v>42551</v>
      </c>
    </row>
    <row r="207" spans="1:13" s="91" customFormat="1" outlineLevel="1" x14ac:dyDescent="0.25">
      <c r="A207" s="267"/>
      <c r="B207" s="261" t="s">
        <v>555</v>
      </c>
      <c r="C207" s="268">
        <f>3819048.45+73876.2+377432.38</f>
        <v>4270357.03</v>
      </c>
      <c r="D207" s="316">
        <f t="shared" si="35"/>
        <v>4270357.03</v>
      </c>
      <c r="E207" s="250">
        <f>C207*0.7356</f>
        <v>3141274.6312680002</v>
      </c>
      <c r="F207" s="250">
        <f>C207*5%</f>
        <v>213517.85150000002</v>
      </c>
      <c r="G207" s="251">
        <f>C207-E207-F207</f>
        <v>915564.54723200004</v>
      </c>
      <c r="H207" s="317">
        <f t="shared" si="34"/>
        <v>4270357.0299999993</v>
      </c>
      <c r="I207" s="318">
        <v>3141274.63</v>
      </c>
      <c r="J207" s="318">
        <v>213517.86</v>
      </c>
      <c r="K207" s="319">
        <v>915564.54</v>
      </c>
      <c r="L207" s="396" t="s">
        <v>663</v>
      </c>
    </row>
    <row r="208" spans="1:13" s="91" customFormat="1" outlineLevel="1" x14ac:dyDescent="0.25">
      <c r="A208" s="267"/>
      <c r="B208" s="261" t="s">
        <v>554</v>
      </c>
      <c r="C208" s="268">
        <v>30588.27</v>
      </c>
      <c r="D208" s="316">
        <f>SUM(E208:G208)</f>
        <v>30588.269999999997</v>
      </c>
      <c r="E208" s="250">
        <v>29114.898912058397</v>
      </c>
      <c r="F208" s="250">
        <v>1473.3710879415999</v>
      </c>
      <c r="G208" s="251">
        <v>0</v>
      </c>
      <c r="H208" s="317">
        <f t="shared" si="34"/>
        <v>30588.27</v>
      </c>
      <c r="I208" s="318">
        <v>29114.9</v>
      </c>
      <c r="J208" s="318">
        <v>1473.37</v>
      </c>
      <c r="K208" s="319">
        <v>0</v>
      </c>
      <c r="L208" s="262" t="s">
        <v>811</v>
      </c>
      <c r="M208" s="597">
        <v>42604</v>
      </c>
    </row>
    <row r="209" spans="1:13" s="91" customFormat="1" outlineLevel="1" x14ac:dyDescent="0.25">
      <c r="A209" s="267"/>
      <c r="B209" s="261" t="s">
        <v>67</v>
      </c>
      <c r="C209" s="252">
        <v>89760.41</v>
      </c>
      <c r="D209" s="249">
        <f>SUM(E209:G209)</f>
        <v>89760.41</v>
      </c>
      <c r="E209" s="250">
        <f>C209*0.6636</f>
        <v>59565.008075999998</v>
      </c>
      <c r="F209" s="250">
        <f>C209*5%</f>
        <v>4488.0205000000005</v>
      </c>
      <c r="G209" s="251">
        <f>C209-E209-F209</f>
        <v>25707.381424000007</v>
      </c>
      <c r="H209" s="249">
        <f t="shared" si="34"/>
        <v>89760.41</v>
      </c>
      <c r="I209" s="250">
        <v>59565.01</v>
      </c>
      <c r="J209" s="250">
        <v>4488.0200000000004</v>
      </c>
      <c r="K209" s="251">
        <v>25707.38</v>
      </c>
      <c r="L209" s="262" t="s">
        <v>620</v>
      </c>
    </row>
    <row r="210" spans="1:13" s="9" customFormat="1" ht="21.75" customHeight="1" thickBot="1" x14ac:dyDescent="0.25">
      <c r="A210" s="126">
        <v>35</v>
      </c>
      <c r="B210" s="183" t="s">
        <v>556</v>
      </c>
      <c r="C210" s="175"/>
      <c r="D210" s="191"/>
      <c r="E210" s="137"/>
      <c r="F210" s="137"/>
      <c r="G210" s="174"/>
      <c r="H210" s="177">
        <f t="shared" si="34"/>
        <v>0</v>
      </c>
      <c r="I210" s="137"/>
      <c r="J210" s="137"/>
      <c r="K210" s="174"/>
      <c r="L210" s="135"/>
    </row>
    <row r="212" spans="1:13" ht="15.75" thickBot="1" x14ac:dyDescent="0.3"/>
    <row r="213" spans="1:13" x14ac:dyDescent="0.25">
      <c r="B213" s="276" t="s">
        <v>68</v>
      </c>
      <c r="C213" s="279">
        <f t="shared" ref="C213:K213" si="36">C8+C17+C26+C42+C50+C58+C108+C118+C128+C138+C146+C154+C162+C171+C180+C188+C202</f>
        <v>9876384.1599999983</v>
      </c>
      <c r="D213" s="279">
        <f t="shared" si="36"/>
        <v>9876384.1599999983</v>
      </c>
      <c r="E213" s="279">
        <f t="shared" si="36"/>
        <v>8267128.6844422212</v>
      </c>
      <c r="F213" s="279">
        <f t="shared" si="36"/>
        <v>511039.37772427843</v>
      </c>
      <c r="G213" s="279">
        <f t="shared" si="36"/>
        <v>1098216.0978335</v>
      </c>
      <c r="H213" s="279">
        <f t="shared" si="36"/>
        <v>6979688.5900000008</v>
      </c>
      <c r="I213" s="279">
        <f t="shared" si="36"/>
        <v>5619626.3100000005</v>
      </c>
      <c r="J213" s="279">
        <f t="shared" si="36"/>
        <v>348984.41</v>
      </c>
      <c r="K213" s="279">
        <f t="shared" si="36"/>
        <v>1011077.8700000001</v>
      </c>
      <c r="L213" s="56">
        <v>12</v>
      </c>
    </row>
    <row r="214" spans="1:13" x14ac:dyDescent="0.25">
      <c r="B214" s="278" t="s">
        <v>64</v>
      </c>
      <c r="C214" s="294">
        <f t="shared" ref="C214:K214" si="37">C9+C18+C27+C43+C51+C59+C109+C119+C129+C139+C147+C155+C163+C172+C181+C189+C203</f>
        <v>63288901.079999991</v>
      </c>
      <c r="D214" s="294">
        <f t="shared" si="37"/>
        <v>63288901.079999998</v>
      </c>
      <c r="E214" s="294">
        <f t="shared" si="37"/>
        <v>49672339.294017322</v>
      </c>
      <c r="F214" s="294">
        <f t="shared" si="37"/>
        <v>3151863.0744968671</v>
      </c>
      <c r="G214" s="294">
        <f t="shared" si="37"/>
        <v>10464698.711485799</v>
      </c>
      <c r="H214" s="294">
        <f t="shared" si="37"/>
        <v>42605993.119999997</v>
      </c>
      <c r="I214" s="294">
        <f t="shared" si="37"/>
        <v>36985462.550000004</v>
      </c>
      <c r="J214" s="294">
        <f t="shared" si="37"/>
        <v>2129369.38</v>
      </c>
      <c r="K214" s="294">
        <f t="shared" si="37"/>
        <v>3491161.1900000004</v>
      </c>
      <c r="L214" s="56">
        <v>11</v>
      </c>
    </row>
    <row r="215" spans="1:13" x14ac:dyDescent="0.25">
      <c r="B215" s="278" t="s">
        <v>65</v>
      </c>
      <c r="C215" s="12">
        <f t="shared" ref="C215:K215" si="38">C10+C19+C28+C44+C52+C60+C110+C120+C130+C140+C148+C156+C164+C173+C182+C190+C204</f>
        <v>6376699.2400000002</v>
      </c>
      <c r="D215" s="12">
        <f t="shared" si="38"/>
        <v>6376699.2400000002</v>
      </c>
      <c r="E215" s="12">
        <f t="shared" si="38"/>
        <v>4690699.9609440006</v>
      </c>
      <c r="F215" s="12">
        <f t="shared" si="38"/>
        <v>318834.96200000006</v>
      </c>
      <c r="G215" s="12">
        <f t="shared" si="38"/>
        <v>1367164.3170559995</v>
      </c>
      <c r="H215" s="12">
        <f t="shared" si="38"/>
        <v>6376699.2400000002</v>
      </c>
      <c r="I215" s="12">
        <f t="shared" si="38"/>
        <v>4755395.09</v>
      </c>
      <c r="J215" s="12">
        <f t="shared" si="38"/>
        <v>318834.96000000002</v>
      </c>
      <c r="K215" s="12">
        <f t="shared" si="38"/>
        <v>1302469.1900000002</v>
      </c>
      <c r="L215" s="56">
        <v>17</v>
      </c>
    </row>
    <row r="216" spans="1:13" x14ac:dyDescent="0.25">
      <c r="B216" s="278" t="s">
        <v>66</v>
      </c>
      <c r="C216" s="12">
        <f t="shared" ref="C216:K216" si="39">C11+C20+C29+C45+C53+C61+C111+C121+C131+C141+C149+C157+C165+C174+C183+C191+C205</f>
        <v>5354545.2599999988</v>
      </c>
      <c r="D216" s="12">
        <f t="shared" si="39"/>
        <v>5354545.2599999988</v>
      </c>
      <c r="E216" s="12">
        <f t="shared" si="39"/>
        <v>3938803.4932560003</v>
      </c>
      <c r="F216" s="12">
        <f t="shared" si="39"/>
        <v>267727.26300000004</v>
      </c>
      <c r="G216" s="12">
        <f t="shared" si="39"/>
        <v>1148014.5037439996</v>
      </c>
      <c r="H216" s="12">
        <f t="shared" si="39"/>
        <v>5354545.2599999979</v>
      </c>
      <c r="I216" s="12">
        <f t="shared" si="39"/>
        <v>3993900.1000000006</v>
      </c>
      <c r="J216" s="12">
        <f t="shared" si="39"/>
        <v>267727.28000000003</v>
      </c>
      <c r="K216" s="12">
        <f t="shared" si="39"/>
        <v>1092917.8800000001</v>
      </c>
      <c r="L216" s="56">
        <v>17</v>
      </c>
    </row>
    <row r="217" spans="1:13" x14ac:dyDescent="0.25">
      <c r="B217" s="554" t="s">
        <v>571</v>
      </c>
      <c r="C217" s="12">
        <f t="shared" ref="C217:K217" si="40">C12+C21+C30+C46+C54+C62+C112+C122+C132+C142+C150+C158+C166+C175+C184+C192+C206</f>
        <v>14437493.519999998</v>
      </c>
      <c r="D217" s="12">
        <f t="shared" si="40"/>
        <v>14437493.519999998</v>
      </c>
      <c r="E217" s="12">
        <f t="shared" si="40"/>
        <v>13715618.829999998</v>
      </c>
      <c r="F217" s="12">
        <f t="shared" si="40"/>
        <v>721874.69000000006</v>
      </c>
      <c r="G217" s="12">
        <f t="shared" si="40"/>
        <v>3.4197000786662102E-10</v>
      </c>
      <c r="H217" s="12">
        <f t="shared" si="40"/>
        <v>14437493.519999998</v>
      </c>
      <c r="I217" s="12">
        <f t="shared" si="40"/>
        <v>13715618.829999998</v>
      </c>
      <c r="J217" s="12">
        <f t="shared" si="40"/>
        <v>721874.69000000006</v>
      </c>
      <c r="K217" s="12">
        <f t="shared" si="40"/>
        <v>0</v>
      </c>
      <c r="L217" s="56">
        <v>17</v>
      </c>
    </row>
    <row r="218" spans="1:13" x14ac:dyDescent="0.25">
      <c r="B218" s="278" t="s">
        <v>555</v>
      </c>
      <c r="C218" s="12">
        <f t="shared" ref="C218:K218" si="41">C13+C22+C34+C36+C38+C66+C69+C72+C75+C78+C82+C85+C89+C92+C94+C97+C101+C113+C123+C133+C167+C176+C193+C197+C207</f>
        <v>77332075.349999994</v>
      </c>
      <c r="D218" s="12">
        <f t="shared" si="41"/>
        <v>77332075.349999994</v>
      </c>
      <c r="E218" s="12">
        <f t="shared" si="41"/>
        <v>60471236.145049408</v>
      </c>
      <c r="F218" s="12">
        <f t="shared" si="41"/>
        <v>3865769.596718641</v>
      </c>
      <c r="G218" s="12">
        <f t="shared" si="41"/>
        <v>12995069.608231943</v>
      </c>
      <c r="H218" s="12">
        <f t="shared" si="41"/>
        <v>53340583.649999999</v>
      </c>
      <c r="I218" s="12">
        <f t="shared" si="41"/>
        <v>42258755.579999998</v>
      </c>
      <c r="J218" s="12">
        <f t="shared" si="41"/>
        <v>2667029.1800000002</v>
      </c>
      <c r="K218" s="12">
        <f t="shared" si="41"/>
        <v>8414798.8900000006</v>
      </c>
      <c r="L218" s="602">
        <v>9</v>
      </c>
      <c r="M218" s="601"/>
    </row>
    <row r="219" spans="1:13" x14ac:dyDescent="0.25">
      <c r="B219" s="278" t="s">
        <v>557</v>
      </c>
      <c r="C219" s="12">
        <f t="shared" ref="C219" si="42">C105+C114+C124+C134+C198</f>
        <v>14225825.199999999</v>
      </c>
      <c r="D219" s="12">
        <f t="shared" ref="D219:K219" si="43">D105+D114+D124+D134+D198</f>
        <v>14225825.199999999</v>
      </c>
      <c r="E219" s="12">
        <f t="shared" si="43"/>
        <v>10464517.01712</v>
      </c>
      <c r="F219" s="12">
        <f t="shared" si="43"/>
        <v>711291.26</v>
      </c>
      <c r="G219" s="12">
        <f t="shared" si="43"/>
        <v>3050016.9228799995</v>
      </c>
      <c r="H219" s="12">
        <f t="shared" si="43"/>
        <v>14225825.199999999</v>
      </c>
      <c r="I219" s="12">
        <f t="shared" si="43"/>
        <v>10464517.02</v>
      </c>
      <c r="J219" s="12">
        <f t="shared" si="43"/>
        <v>711291.25</v>
      </c>
      <c r="K219" s="12">
        <f t="shared" si="43"/>
        <v>3050016.9299999997</v>
      </c>
      <c r="L219" s="600">
        <v>3</v>
      </c>
    </row>
    <row r="220" spans="1:13" x14ac:dyDescent="0.25">
      <c r="B220" s="278" t="s">
        <v>554</v>
      </c>
      <c r="C220" s="12">
        <f>C14+C23+C31+C39+C47+C55+C63+C67+C73+C79+C86+C98+C102+C106+C115+C125+C135+C143+C151+C159+C168+C177+C185+C194+C199+C208</f>
        <v>1243505.07</v>
      </c>
      <c r="D220" s="12">
        <f t="shared" ref="D220:K220" si="44">D14+D23+D31+D39+D47+D55+D63+D67+D73+D79+D86+D98+D102+D106+D115+D125+D135+D143+D151+D159+D168+D177+D185+D194+D199+D208</f>
        <v>1243505.07</v>
      </c>
      <c r="E220" s="12">
        <f t="shared" si="44"/>
        <v>1093087.7129085967</v>
      </c>
      <c r="F220" s="12">
        <f t="shared" si="44"/>
        <v>63135.589534359853</v>
      </c>
      <c r="G220" s="12">
        <f t="shared" si="44"/>
        <v>87281.767557043393</v>
      </c>
      <c r="H220" s="12">
        <f t="shared" si="44"/>
        <v>1243505.07</v>
      </c>
      <c r="I220" s="12">
        <f t="shared" si="44"/>
        <v>1093087.72</v>
      </c>
      <c r="J220" s="12">
        <f t="shared" si="44"/>
        <v>63135.600000000013</v>
      </c>
      <c r="K220" s="12">
        <f t="shared" si="44"/>
        <v>87281.75</v>
      </c>
    </row>
    <row r="221" spans="1:13" x14ac:dyDescent="0.25">
      <c r="B221" s="281" t="s">
        <v>67</v>
      </c>
      <c r="C221" s="12">
        <f t="shared" ref="C221:K221" si="45">C15+C24+C32+C40+C48+C56+C64+C70+C76+C80+C83+C87+C90+C95+C99+C103+C116+C126+C136+C144+C152+C160+C169+C178+C186+C195+C200+C209+C210</f>
        <v>2818953.1299999994</v>
      </c>
      <c r="D221" s="12">
        <f t="shared" si="45"/>
        <v>2818953.13</v>
      </c>
      <c r="E221" s="12">
        <f t="shared" si="45"/>
        <v>1953830.1497880004</v>
      </c>
      <c r="F221" s="12">
        <f t="shared" si="45"/>
        <v>140947.65650000004</v>
      </c>
      <c r="G221" s="12">
        <f t="shared" si="45"/>
        <v>724175.32371199992</v>
      </c>
      <c r="H221" s="12">
        <f t="shared" si="45"/>
        <v>2818953.1299999994</v>
      </c>
      <c r="I221" s="12">
        <f t="shared" si="45"/>
        <v>1953830.1600000004</v>
      </c>
      <c r="J221" s="12">
        <f t="shared" si="45"/>
        <v>140947.65</v>
      </c>
      <c r="K221" s="12">
        <f t="shared" si="45"/>
        <v>724175.31999999983</v>
      </c>
      <c r="L221" s="56">
        <v>28</v>
      </c>
    </row>
    <row r="222" spans="1:13" ht="15.75" thickBot="1" x14ac:dyDescent="0.3">
      <c r="B222" s="282" t="s">
        <v>625</v>
      </c>
      <c r="C222" s="18">
        <f t="shared" ref="C222:K222" si="46">SUM(C213:C221)</f>
        <v>194954382.00999996</v>
      </c>
      <c r="D222" s="18">
        <f t="shared" si="46"/>
        <v>194954382.00999996</v>
      </c>
      <c r="E222" s="18">
        <f t="shared" si="46"/>
        <v>154267261.28752553</v>
      </c>
      <c r="F222" s="18">
        <f t="shared" si="46"/>
        <v>9752483.4699741453</v>
      </c>
      <c r="G222" s="18">
        <f t="shared" si="46"/>
        <v>30934637.252500284</v>
      </c>
      <c r="H222" s="18">
        <f t="shared" si="46"/>
        <v>147383286.77999997</v>
      </c>
      <c r="I222" s="18">
        <f t="shared" si="46"/>
        <v>120840193.36</v>
      </c>
      <c r="J222" s="18">
        <f t="shared" si="46"/>
        <v>7369194.4000000004</v>
      </c>
      <c r="K222" s="19">
        <f t="shared" si="46"/>
        <v>19173899.020000003</v>
      </c>
    </row>
    <row r="223" spans="1:13" x14ac:dyDescent="0.25">
      <c r="B223" s="71"/>
      <c r="C223" s="96">
        <f t="shared" ref="C223:K223" si="47">C6</f>
        <v>194954382.01000005</v>
      </c>
      <c r="D223" s="96">
        <f t="shared" si="47"/>
        <v>194954382.01000005</v>
      </c>
      <c r="E223" s="96">
        <f t="shared" si="47"/>
        <v>154267261.28752559</v>
      </c>
      <c r="F223" s="96">
        <f t="shared" si="47"/>
        <v>9752483.469974149</v>
      </c>
      <c r="G223" s="96">
        <f t="shared" si="47"/>
        <v>30934637.252500284</v>
      </c>
      <c r="H223" s="96">
        <f t="shared" si="47"/>
        <v>147383286.78000003</v>
      </c>
      <c r="I223" s="96">
        <f t="shared" si="47"/>
        <v>120840193.36000003</v>
      </c>
      <c r="J223" s="96">
        <f t="shared" si="47"/>
        <v>7369194.3999999985</v>
      </c>
      <c r="K223" s="96">
        <f t="shared" si="47"/>
        <v>19173899.019999996</v>
      </c>
    </row>
    <row r="224" spans="1:13" x14ac:dyDescent="0.25">
      <c r="B224" s="96" t="s">
        <v>627</v>
      </c>
      <c r="C224" s="96">
        <f t="shared" ref="C224:K224" si="48">C222-C223</f>
        <v>0</v>
      </c>
      <c r="D224" s="96">
        <f t="shared" si="48"/>
        <v>0</v>
      </c>
      <c r="E224" s="96">
        <f t="shared" si="48"/>
        <v>0</v>
      </c>
      <c r="F224" s="96">
        <f t="shared" si="48"/>
        <v>0</v>
      </c>
      <c r="G224" s="96">
        <f t="shared" si="48"/>
        <v>0</v>
      </c>
      <c r="H224" s="96">
        <f t="shared" si="48"/>
        <v>0</v>
      </c>
      <c r="I224" s="96">
        <f t="shared" si="48"/>
        <v>0</v>
      </c>
      <c r="J224" s="96">
        <f t="shared" si="48"/>
        <v>0</v>
      </c>
      <c r="K224" s="96">
        <f t="shared" si="48"/>
        <v>0</v>
      </c>
    </row>
  </sheetData>
  <autoFilter ref="A7:N210"/>
  <mergeCells count="9">
    <mergeCell ref="M4:M5"/>
    <mergeCell ref="A6:B6"/>
    <mergeCell ref="A1:L3"/>
    <mergeCell ref="A4:A5"/>
    <mergeCell ref="B4:B5"/>
    <mergeCell ref="D4:G4"/>
    <mergeCell ref="H4:K4"/>
    <mergeCell ref="L4:L5"/>
    <mergeCell ref="C4:C5"/>
  </mergeCells>
  <pageMargins left="0.23622047244094491" right="0.23622047244094491" top="0.74803149606299213" bottom="0.74803149606299213" header="0.31496062992125984" footer="0.31496062992125984"/>
  <pageSetup paperSize="9" scale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5"/>
    <pageSetUpPr fitToPage="1"/>
  </sheetPr>
  <dimension ref="A1:O110"/>
  <sheetViews>
    <sheetView view="pageBreakPreview" zoomScale="70" zoomScaleNormal="100" zoomScaleSheetLayoutView="70" workbookViewId="0">
      <selection sqref="A1:L3"/>
    </sheetView>
  </sheetViews>
  <sheetFormatPr defaultColWidth="9.140625" defaultRowHeight="15" outlineLevelRow="1" x14ac:dyDescent="0.25"/>
  <cols>
    <col min="1" max="1" width="4.7109375" style="25" customWidth="1"/>
    <col min="2" max="2" width="37.85546875" style="56" customWidth="1"/>
    <col min="3" max="3" width="15" style="71" customWidth="1"/>
    <col min="4" max="4" width="14.7109375" style="71" bestFit="1" customWidth="1"/>
    <col min="5" max="5" width="14.28515625" style="71" customWidth="1"/>
    <col min="6" max="6" width="13.5703125" style="71" customWidth="1"/>
    <col min="7" max="7" width="17.140625" style="71" customWidth="1"/>
    <col min="8" max="8" width="14.7109375" style="56" bestFit="1" customWidth="1"/>
    <col min="9" max="9" width="14.85546875" style="71" customWidth="1"/>
    <col min="10" max="10" width="14.5703125" style="71" customWidth="1"/>
    <col min="11" max="11" width="15.7109375" style="71" customWidth="1"/>
    <col min="12" max="12" width="24" style="2" customWidth="1"/>
    <col min="13" max="13" width="14.5703125" style="2" customWidth="1"/>
    <col min="14" max="14" width="11.140625" style="2" customWidth="1"/>
    <col min="15" max="16384" width="9.140625" style="2"/>
  </cols>
  <sheetData>
    <row r="1" spans="1:15" ht="15.75" x14ac:dyDescent="0.25">
      <c r="A1" s="777" t="s">
        <v>885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610"/>
    </row>
    <row r="2" spans="1:15" ht="15.75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610"/>
    </row>
    <row r="3" spans="1:15" ht="16.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611"/>
    </row>
    <row r="4" spans="1:15" s="5" customFormat="1" ht="32.25" customHeight="1" x14ac:dyDescent="0.25">
      <c r="A4" s="779" t="s">
        <v>0</v>
      </c>
      <c r="B4" s="749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  <c r="M4" s="612"/>
    </row>
    <row r="5" spans="1:15" s="5" customFormat="1" ht="52.5" customHeight="1" x14ac:dyDescent="0.25">
      <c r="A5" s="775"/>
      <c r="B5" s="781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  <c r="M5" s="612"/>
    </row>
    <row r="6" spans="1:15" s="5" customFormat="1" ht="36.75" customHeight="1" x14ac:dyDescent="0.25">
      <c r="A6" s="211"/>
      <c r="B6" s="211" t="s">
        <v>19</v>
      </c>
      <c r="C6" s="93">
        <f>C7+C10+C13+C16+C23+C32+C41+C48+C56+C59+C61+C67+C70+C78+C84+C90+C97</f>
        <v>78894651.065200001</v>
      </c>
      <c r="D6" s="64">
        <f>E6+F6+G6</f>
        <v>78894651.065199986</v>
      </c>
      <c r="E6" s="22">
        <f>E7+E10+E13+E16+E23+E32+E41+E48+E56+E59+E61+E67+E70+E78+E84+E90+E97</f>
        <v>58475994.300123893</v>
      </c>
      <c r="F6" s="22">
        <f>F7+F10+F13+F16+F23+F32+F41+F48+F56+F59+F61+F67+F70+F78+F84+F90+F97</f>
        <v>3759846.9492736803</v>
      </c>
      <c r="G6" s="23">
        <f>G7+G10+G13+G16+G23+G32+G41+G48+G56+G59+G61+G67+G70+G78+G84+G90+G97</f>
        <v>16658809.815802416</v>
      </c>
      <c r="H6" s="64">
        <f>I6+J6+K6</f>
        <v>68829427.040000007</v>
      </c>
      <c r="I6" s="22">
        <f>I7+I10+I13+I16+I23+I32+I41+I48+I56+I59+I61+I67+I70+I78+I84+I90+I97</f>
        <v>50372266.080000006</v>
      </c>
      <c r="J6" s="22">
        <f>J7+J10+J13+J16+J23+J32+J41+J48+J56+J59+J61+J67+J70+J78+J84+J90+J97</f>
        <v>3256585.76</v>
      </c>
      <c r="K6" s="23">
        <f>K7+K10+K13+K16+K23+K32+K41+K48+K56+K59+K61+K67+K70+K78+K84+K90+K97</f>
        <v>15200575.200000001</v>
      </c>
      <c r="L6" s="139"/>
      <c r="M6" s="613"/>
    </row>
    <row r="7" spans="1:15" s="395" customFormat="1" ht="32.25" customHeight="1" x14ac:dyDescent="0.2">
      <c r="A7" s="391">
        <v>1</v>
      </c>
      <c r="B7" s="392" t="s">
        <v>259</v>
      </c>
      <c r="C7" s="290">
        <f>SUM(C8:C9)</f>
        <v>2640152.7450000001</v>
      </c>
      <c r="D7" s="288">
        <f>SUM(E7:G7)</f>
        <v>2640152.7450000001</v>
      </c>
      <c r="E7" s="289">
        <f>SUM(E8:E9)</f>
        <v>1914717.9752563501</v>
      </c>
      <c r="F7" s="289">
        <f>SUM(F8:F9)</f>
        <v>132007.63725</v>
      </c>
      <c r="G7" s="247">
        <f>SUM(G8:G9)</f>
        <v>593427.13249364984</v>
      </c>
      <c r="H7" s="288">
        <f t="shared" ref="H7:H63" si="0">I7+J7+K7</f>
        <v>2640152.75</v>
      </c>
      <c r="I7" s="289">
        <f>SUM(I8:I9)</f>
        <v>1914717.97</v>
      </c>
      <c r="J7" s="289">
        <f>SUM(J8:J9)</f>
        <v>132007.63999999998</v>
      </c>
      <c r="K7" s="247">
        <f>SUM(K8:K9)</f>
        <v>593427.14</v>
      </c>
      <c r="L7" s="400"/>
      <c r="M7" s="614"/>
      <c r="N7" s="395">
        <v>1000</v>
      </c>
      <c r="O7" s="395">
        <f>K7/N7</f>
        <v>593.42714000000001</v>
      </c>
    </row>
    <row r="8" spans="1:15" s="91" customFormat="1" outlineLevel="1" x14ac:dyDescent="0.25">
      <c r="A8" s="260"/>
      <c r="B8" s="261" t="s">
        <v>555</v>
      </c>
      <c r="C8" s="252">
        <v>2552914.46</v>
      </c>
      <c r="D8" s="249">
        <f t="shared" ref="D8:D64" si="1">SUM(E8:G8)</f>
        <v>2552914.46</v>
      </c>
      <c r="E8" s="250">
        <f>C8*0.72523</f>
        <v>1851450.1538258002</v>
      </c>
      <c r="F8" s="250">
        <f>C8*0.05</f>
        <v>127645.723</v>
      </c>
      <c r="G8" s="251">
        <f>C8-E8-F8</f>
        <v>573818.5831741998</v>
      </c>
      <c r="H8" s="249">
        <f t="shared" si="0"/>
        <v>2552914.46</v>
      </c>
      <c r="I8" s="250">
        <v>1851450.15</v>
      </c>
      <c r="J8" s="250">
        <v>127645.73</v>
      </c>
      <c r="K8" s="251">
        <v>573818.57999999996</v>
      </c>
      <c r="L8" s="271" t="s">
        <v>738</v>
      </c>
      <c r="M8" s="615"/>
    </row>
    <row r="9" spans="1:15" s="91" customFormat="1" outlineLevel="1" x14ac:dyDescent="0.25">
      <c r="A9" s="260"/>
      <c r="B9" s="261" t="s">
        <v>67</v>
      </c>
      <c r="C9" s="252">
        <v>87238.284999999989</v>
      </c>
      <c r="D9" s="249">
        <f t="shared" si="1"/>
        <v>87238.284999999974</v>
      </c>
      <c r="E9" s="250">
        <f>C9*0.72523</f>
        <v>63267.821430549993</v>
      </c>
      <c r="F9" s="250">
        <f>C9*0.05</f>
        <v>4361.9142499999998</v>
      </c>
      <c r="G9" s="251">
        <f>C9-E9-F9</f>
        <v>19608.549319449994</v>
      </c>
      <c r="H9" s="249">
        <f t="shared" si="0"/>
        <v>87238.29</v>
      </c>
      <c r="I9" s="250">
        <v>63267.82</v>
      </c>
      <c r="J9" s="250">
        <v>4361.91</v>
      </c>
      <c r="K9" s="251">
        <v>19608.560000000001</v>
      </c>
      <c r="L9" s="271" t="s">
        <v>734</v>
      </c>
      <c r="M9" s="615"/>
    </row>
    <row r="10" spans="1:15" s="395" customFormat="1" ht="29.25" customHeight="1" x14ac:dyDescent="0.2">
      <c r="A10" s="391">
        <v>2</v>
      </c>
      <c r="B10" s="392" t="s">
        <v>260</v>
      </c>
      <c r="C10" s="290">
        <f>SUM(C11:C12)</f>
        <v>2699985.835</v>
      </c>
      <c r="D10" s="288">
        <f t="shared" si="1"/>
        <v>2699985.835</v>
      </c>
      <c r="E10" s="289">
        <f>SUM(E11:E12)</f>
        <v>1958110.72711705</v>
      </c>
      <c r="F10" s="289">
        <f>SUM(F11:F12)</f>
        <v>134999.29175</v>
      </c>
      <c r="G10" s="247">
        <f>SUM(G11:G12)</f>
        <v>606875.8161329499</v>
      </c>
      <c r="H10" s="288">
        <f t="shared" si="0"/>
        <v>2699985.84</v>
      </c>
      <c r="I10" s="289">
        <f>SUM(I11:I12)</f>
        <v>1958110.73</v>
      </c>
      <c r="J10" s="289">
        <f>SUM(J11:J12)</f>
        <v>134999.29</v>
      </c>
      <c r="K10" s="247">
        <f>SUM(K11:K12)</f>
        <v>606875.82000000007</v>
      </c>
      <c r="L10" s="400"/>
      <c r="M10" s="614"/>
      <c r="N10" s="395">
        <v>1000</v>
      </c>
      <c r="O10" s="395">
        <f>K10/N10</f>
        <v>606.87582000000009</v>
      </c>
    </row>
    <row r="11" spans="1:15" s="91" customFormat="1" outlineLevel="1" x14ac:dyDescent="0.25">
      <c r="A11" s="260"/>
      <c r="B11" s="261" t="s">
        <v>555</v>
      </c>
      <c r="C11" s="252">
        <v>2612747.5499999998</v>
      </c>
      <c r="D11" s="249">
        <f t="shared" si="1"/>
        <v>2612747.5499999998</v>
      </c>
      <c r="E11" s="250">
        <f>C11*0.72523</f>
        <v>1894842.9056865</v>
      </c>
      <c r="F11" s="250">
        <f>C11*0.05</f>
        <v>130637.3775</v>
      </c>
      <c r="G11" s="251">
        <f>C11-E11-F11</f>
        <v>587267.26681349985</v>
      </c>
      <c r="H11" s="249">
        <f t="shared" si="0"/>
        <v>2612747.5499999998</v>
      </c>
      <c r="I11" s="250">
        <v>1894842.91</v>
      </c>
      <c r="J11" s="250">
        <v>130637.38</v>
      </c>
      <c r="K11" s="251">
        <v>587267.26</v>
      </c>
      <c r="L11" s="271" t="s">
        <v>738</v>
      </c>
      <c r="M11" s="615"/>
    </row>
    <row r="12" spans="1:15" s="91" customFormat="1" outlineLevel="1" x14ac:dyDescent="0.25">
      <c r="A12" s="260"/>
      <c r="B12" s="261" t="s">
        <v>67</v>
      </c>
      <c r="C12" s="252">
        <v>87238.284999999989</v>
      </c>
      <c r="D12" s="249">
        <f t="shared" si="1"/>
        <v>87238.284999999974</v>
      </c>
      <c r="E12" s="250">
        <f>C12*0.72523</f>
        <v>63267.821430549993</v>
      </c>
      <c r="F12" s="250">
        <f>C12*0.05</f>
        <v>4361.9142499999998</v>
      </c>
      <c r="G12" s="251">
        <f>C12-E12-F12</f>
        <v>19608.549319449994</v>
      </c>
      <c r="H12" s="249">
        <f t="shared" si="0"/>
        <v>87238.29</v>
      </c>
      <c r="I12" s="250">
        <v>63267.82</v>
      </c>
      <c r="J12" s="250">
        <v>4361.91</v>
      </c>
      <c r="K12" s="251">
        <v>19608.560000000001</v>
      </c>
      <c r="L12" s="271" t="s">
        <v>734</v>
      </c>
      <c r="M12" s="615"/>
    </row>
    <row r="13" spans="1:15" s="9" customFormat="1" ht="30" customHeight="1" x14ac:dyDescent="0.2">
      <c r="A13" s="140">
        <v>3</v>
      </c>
      <c r="B13" s="60" t="s">
        <v>248</v>
      </c>
      <c r="C13" s="63">
        <f>SUM(C14:C15)</f>
        <v>0</v>
      </c>
      <c r="D13" s="40">
        <f t="shared" si="1"/>
        <v>0</v>
      </c>
      <c r="E13" s="75">
        <f>SUM(E14:E15)</f>
        <v>0</v>
      </c>
      <c r="F13" s="75">
        <f>SUM(F14:F15)</f>
        <v>0</v>
      </c>
      <c r="G13" s="80">
        <f>SUM(G14:G15)</f>
        <v>0</v>
      </c>
      <c r="H13" s="40">
        <f t="shared" si="0"/>
        <v>0</v>
      </c>
      <c r="I13" s="75">
        <f>SUM(I14:I15)</f>
        <v>0</v>
      </c>
      <c r="J13" s="75">
        <f>SUM(J14:J15)</f>
        <v>0</v>
      </c>
      <c r="K13" s="80">
        <f>SUM(K14:K15)</f>
        <v>0</v>
      </c>
      <c r="L13" s="35"/>
      <c r="M13" s="616"/>
      <c r="N13" s="9">
        <v>1000</v>
      </c>
      <c r="O13" s="9">
        <f>K13/N13</f>
        <v>0</v>
      </c>
    </row>
    <row r="14" spans="1:15" outlineLevel="1" x14ac:dyDescent="0.25">
      <c r="A14" s="10"/>
      <c r="B14" s="43" t="s">
        <v>564</v>
      </c>
      <c r="C14" s="47"/>
      <c r="D14" s="42">
        <f t="shared" si="1"/>
        <v>0</v>
      </c>
      <c r="E14" s="72"/>
      <c r="F14" s="72"/>
      <c r="G14" s="92"/>
      <c r="H14" s="42">
        <f t="shared" si="0"/>
        <v>0</v>
      </c>
      <c r="I14" s="72"/>
      <c r="J14" s="72"/>
      <c r="K14" s="92"/>
      <c r="L14" s="28"/>
      <c r="M14" s="601"/>
    </row>
    <row r="15" spans="1:15" outlineLevel="1" x14ac:dyDescent="0.25">
      <c r="A15" s="10"/>
      <c r="B15" s="43" t="s">
        <v>67</v>
      </c>
      <c r="C15" s="47"/>
      <c r="D15" s="42">
        <f t="shared" si="1"/>
        <v>0</v>
      </c>
      <c r="E15" s="72"/>
      <c r="F15" s="72"/>
      <c r="G15" s="92"/>
      <c r="H15" s="42">
        <f t="shared" si="0"/>
        <v>0</v>
      </c>
      <c r="I15" s="72"/>
      <c r="J15" s="72"/>
      <c r="K15" s="92"/>
      <c r="L15" s="28"/>
      <c r="M15" s="601"/>
    </row>
    <row r="16" spans="1:15" s="9" customFormat="1" ht="30" customHeight="1" x14ac:dyDescent="0.2">
      <c r="A16" s="140">
        <v>4</v>
      </c>
      <c r="B16" s="60" t="s">
        <v>249</v>
      </c>
      <c r="C16" s="63">
        <f>SUM(C17:C22)</f>
        <v>326492.49</v>
      </c>
      <c r="D16" s="40">
        <f t="shared" si="1"/>
        <v>326492.49</v>
      </c>
      <c r="E16" s="75">
        <f>SUM(E17:E22)</f>
        <v>216660.41636399998</v>
      </c>
      <c r="F16" s="75">
        <f>SUM(F17:F22)</f>
        <v>16324.6245</v>
      </c>
      <c r="G16" s="80">
        <f>SUM(G17:G22)</f>
        <v>93507.44913600001</v>
      </c>
      <c r="H16" s="40">
        <f t="shared" si="0"/>
        <v>326492.49</v>
      </c>
      <c r="I16" s="75">
        <f>SUM(I17:I22)</f>
        <v>216660.41</v>
      </c>
      <c r="J16" s="75">
        <f>SUM(J17:J22)</f>
        <v>16324.62</v>
      </c>
      <c r="K16" s="80">
        <f>SUM(K17:K22)</f>
        <v>93507.46</v>
      </c>
      <c r="L16" s="35"/>
      <c r="M16" s="616"/>
      <c r="N16" s="9">
        <v>1000</v>
      </c>
      <c r="O16" s="9">
        <f>K16/N16</f>
        <v>93.507460000000009</v>
      </c>
    </row>
    <row r="17" spans="1:15" outlineLevel="1" x14ac:dyDescent="0.25">
      <c r="A17" s="10"/>
      <c r="B17" s="43" t="s">
        <v>68</v>
      </c>
      <c r="C17" s="47"/>
      <c r="D17" s="42">
        <f t="shared" si="1"/>
        <v>0</v>
      </c>
      <c r="E17" s="72"/>
      <c r="F17" s="72"/>
      <c r="G17" s="92"/>
      <c r="H17" s="42">
        <f t="shared" si="0"/>
        <v>0</v>
      </c>
      <c r="I17" s="72"/>
      <c r="J17" s="72"/>
      <c r="K17" s="92"/>
      <c r="L17" s="28"/>
      <c r="M17" s="601"/>
    </row>
    <row r="18" spans="1:15" outlineLevel="1" x14ac:dyDescent="0.25">
      <c r="A18" s="10"/>
      <c r="B18" s="43" t="s">
        <v>64</v>
      </c>
      <c r="C18" s="47"/>
      <c r="D18" s="42">
        <f t="shared" si="1"/>
        <v>0</v>
      </c>
      <c r="E18" s="72"/>
      <c r="F18" s="72"/>
      <c r="G18" s="92"/>
      <c r="H18" s="42">
        <f t="shared" si="0"/>
        <v>0</v>
      </c>
      <c r="I18" s="72"/>
      <c r="J18" s="72"/>
      <c r="K18" s="92"/>
      <c r="L18" s="28"/>
      <c r="M18" s="601"/>
    </row>
    <row r="19" spans="1:15" outlineLevel="1" x14ac:dyDescent="0.25">
      <c r="A19" s="10"/>
      <c r="B19" s="43" t="s">
        <v>65</v>
      </c>
      <c r="C19" s="47"/>
      <c r="D19" s="42">
        <f t="shared" si="1"/>
        <v>0</v>
      </c>
      <c r="E19" s="72"/>
      <c r="F19" s="72"/>
      <c r="G19" s="92"/>
      <c r="H19" s="42">
        <f t="shared" si="0"/>
        <v>0</v>
      </c>
      <c r="I19" s="72"/>
      <c r="J19" s="72"/>
      <c r="K19" s="92"/>
      <c r="L19" s="28"/>
      <c r="M19" s="601"/>
    </row>
    <row r="20" spans="1:15" outlineLevel="1" x14ac:dyDescent="0.25">
      <c r="A20" s="10"/>
      <c r="B20" s="43" t="s">
        <v>66</v>
      </c>
      <c r="C20" s="47"/>
      <c r="D20" s="42">
        <f t="shared" si="1"/>
        <v>0</v>
      </c>
      <c r="E20" s="72"/>
      <c r="F20" s="72"/>
      <c r="G20" s="92"/>
      <c r="H20" s="42">
        <f t="shared" si="0"/>
        <v>0</v>
      </c>
      <c r="I20" s="72"/>
      <c r="J20" s="72"/>
      <c r="K20" s="92"/>
      <c r="L20" s="28"/>
      <c r="M20" s="601"/>
    </row>
    <row r="21" spans="1:15" outlineLevel="1" x14ac:dyDescent="0.25">
      <c r="A21" s="10"/>
      <c r="B21" s="43" t="s">
        <v>555</v>
      </c>
      <c r="C21" s="47"/>
      <c r="D21" s="42">
        <f t="shared" si="1"/>
        <v>0</v>
      </c>
      <c r="E21" s="72"/>
      <c r="F21" s="72"/>
      <c r="G21" s="92"/>
      <c r="H21" s="42">
        <f t="shared" si="0"/>
        <v>0</v>
      </c>
      <c r="I21" s="72"/>
      <c r="J21" s="72"/>
      <c r="K21" s="92"/>
      <c r="L21" s="28"/>
      <c r="M21" s="601"/>
    </row>
    <row r="22" spans="1:15" s="91" customFormat="1" outlineLevel="1" x14ac:dyDescent="0.25">
      <c r="A22" s="260"/>
      <c r="B22" s="261" t="s">
        <v>67</v>
      </c>
      <c r="C22" s="252">
        <v>326492.49</v>
      </c>
      <c r="D22" s="249">
        <f t="shared" si="1"/>
        <v>326492.49</v>
      </c>
      <c r="E22" s="250">
        <f>C22*0.6636</f>
        <v>216660.41636399998</v>
      </c>
      <c r="F22" s="250">
        <f>C22*5%</f>
        <v>16324.6245</v>
      </c>
      <c r="G22" s="251">
        <f>C22-E22-F22</f>
        <v>93507.44913600001</v>
      </c>
      <c r="H22" s="249">
        <f t="shared" si="0"/>
        <v>326492.49</v>
      </c>
      <c r="I22" s="250">
        <v>216660.41</v>
      </c>
      <c r="J22" s="250">
        <v>16324.62</v>
      </c>
      <c r="K22" s="251">
        <v>93507.46</v>
      </c>
      <c r="L22" s="271" t="s">
        <v>621</v>
      </c>
      <c r="M22" s="615"/>
    </row>
    <row r="23" spans="1:15" s="9" customFormat="1" ht="32.25" customHeight="1" x14ac:dyDescent="0.2">
      <c r="A23" s="140">
        <v>5</v>
      </c>
      <c r="B23" s="60" t="s">
        <v>250</v>
      </c>
      <c r="C23" s="63">
        <f>SUM(C24:C31)</f>
        <v>375847.99</v>
      </c>
      <c r="D23" s="40">
        <f t="shared" si="1"/>
        <v>375847.99</v>
      </c>
      <c r="E23" s="75">
        <f>SUM(E24:E31)</f>
        <v>268465.1981025</v>
      </c>
      <c r="F23" s="75">
        <f t="shared" ref="F23:G23" si="2">SUM(F24:F31)</f>
        <v>18792.399500000003</v>
      </c>
      <c r="G23" s="75">
        <f t="shared" si="2"/>
        <v>88590.392397500007</v>
      </c>
      <c r="H23" s="40">
        <f t="shared" si="0"/>
        <v>79772.28</v>
      </c>
      <c r="I23" s="75">
        <f>SUM(I24:I30)</f>
        <v>52936.89</v>
      </c>
      <c r="J23" s="75">
        <f>SUM(J24:J30)</f>
        <v>3988.61</v>
      </c>
      <c r="K23" s="80">
        <f>SUM(K24:K30)</f>
        <v>22846.78</v>
      </c>
      <c r="L23" s="35"/>
      <c r="M23" s="616"/>
      <c r="N23" s="9">
        <v>1000</v>
      </c>
      <c r="O23" s="9">
        <f>K23/N23</f>
        <v>22.846779999999999</v>
      </c>
    </row>
    <row r="24" spans="1:15" outlineLevel="1" x14ac:dyDescent="0.25">
      <c r="A24" s="10"/>
      <c r="B24" s="43" t="s">
        <v>68</v>
      </c>
      <c r="C24" s="47"/>
      <c r="D24" s="42">
        <f t="shared" si="1"/>
        <v>0</v>
      </c>
      <c r="E24" s="72"/>
      <c r="F24" s="72"/>
      <c r="G24" s="92"/>
      <c r="H24" s="42">
        <f t="shared" si="0"/>
        <v>0</v>
      </c>
      <c r="I24" s="72"/>
      <c r="J24" s="72"/>
      <c r="K24" s="92"/>
      <c r="L24" s="28"/>
      <c r="M24" s="601"/>
    </row>
    <row r="25" spans="1:15" outlineLevel="1" x14ac:dyDescent="0.25">
      <c r="A25" s="10"/>
      <c r="B25" s="43" t="s">
        <v>64</v>
      </c>
      <c r="C25" s="47"/>
      <c r="D25" s="42">
        <f t="shared" si="1"/>
        <v>0</v>
      </c>
      <c r="E25" s="72"/>
      <c r="F25" s="72"/>
      <c r="G25" s="92"/>
      <c r="H25" s="42">
        <f t="shared" si="0"/>
        <v>0</v>
      </c>
      <c r="I25" s="72"/>
      <c r="J25" s="72"/>
      <c r="K25" s="92"/>
      <c r="L25" s="28"/>
      <c r="M25" s="601"/>
    </row>
    <row r="26" spans="1:15" outlineLevel="1" x14ac:dyDescent="0.25">
      <c r="A26" s="10"/>
      <c r="B26" s="43" t="s">
        <v>65</v>
      </c>
      <c r="C26" s="47"/>
      <c r="D26" s="42">
        <f t="shared" si="1"/>
        <v>0</v>
      </c>
      <c r="E26" s="72"/>
      <c r="F26" s="72"/>
      <c r="G26" s="92"/>
      <c r="H26" s="42">
        <f t="shared" si="0"/>
        <v>0</v>
      </c>
      <c r="I26" s="72"/>
      <c r="J26" s="72"/>
      <c r="K26" s="92"/>
      <c r="L26" s="28"/>
      <c r="M26" s="601"/>
    </row>
    <row r="27" spans="1:15" outlineLevel="1" x14ac:dyDescent="0.25">
      <c r="A27" s="10"/>
      <c r="B27" s="43" t="s">
        <v>66</v>
      </c>
      <c r="C27" s="47"/>
      <c r="D27" s="42">
        <f t="shared" si="1"/>
        <v>0</v>
      </c>
      <c r="E27" s="72"/>
      <c r="F27" s="72"/>
      <c r="G27" s="92"/>
      <c r="H27" s="42">
        <f t="shared" si="0"/>
        <v>0</v>
      </c>
      <c r="I27" s="72"/>
      <c r="J27" s="72"/>
      <c r="K27" s="92"/>
      <c r="L27" s="28"/>
      <c r="M27" s="601"/>
    </row>
    <row r="28" spans="1:15" outlineLevel="1" x14ac:dyDescent="0.25">
      <c r="A28" s="10"/>
      <c r="B28" s="43" t="s">
        <v>557</v>
      </c>
      <c r="C28" s="47"/>
      <c r="D28" s="42">
        <f t="shared" si="1"/>
        <v>0</v>
      </c>
      <c r="E28" s="72"/>
      <c r="F28" s="72"/>
      <c r="G28" s="92"/>
      <c r="H28" s="42">
        <f t="shared" si="0"/>
        <v>0</v>
      </c>
      <c r="I28" s="72"/>
      <c r="J28" s="72"/>
      <c r="K28" s="92"/>
      <c r="L28" s="28"/>
      <c r="M28" s="601"/>
    </row>
    <row r="29" spans="1:15" outlineLevel="1" x14ac:dyDescent="0.25">
      <c r="A29" s="10"/>
      <c r="B29" s="43" t="s">
        <v>564</v>
      </c>
      <c r="C29" s="47"/>
      <c r="D29" s="42">
        <f t="shared" si="1"/>
        <v>0</v>
      </c>
      <c r="E29" s="72"/>
      <c r="F29" s="72"/>
      <c r="G29" s="92"/>
      <c r="H29" s="42">
        <f t="shared" si="0"/>
        <v>0</v>
      </c>
      <c r="I29" s="72"/>
      <c r="J29" s="72"/>
      <c r="K29" s="92"/>
      <c r="L29" s="28"/>
      <c r="M29" s="601"/>
    </row>
    <row r="30" spans="1:15" s="91" customFormat="1" outlineLevel="1" x14ac:dyDescent="0.25">
      <c r="A30" s="260"/>
      <c r="B30" s="261" t="s">
        <v>67</v>
      </c>
      <c r="C30" s="252">
        <v>79772.28</v>
      </c>
      <c r="D30" s="249">
        <f t="shared" si="1"/>
        <v>79772.28</v>
      </c>
      <c r="E30" s="250">
        <f>C30*0.6636</f>
        <v>52936.885007999997</v>
      </c>
      <c r="F30" s="250">
        <f>C30*5%</f>
        <v>3988.614</v>
      </c>
      <c r="G30" s="251">
        <f>C30-E30-F30</f>
        <v>22846.780992</v>
      </c>
      <c r="H30" s="249">
        <f t="shared" si="0"/>
        <v>79772.28</v>
      </c>
      <c r="I30" s="250">
        <v>52936.89</v>
      </c>
      <c r="J30" s="250">
        <v>3988.61</v>
      </c>
      <c r="K30" s="251">
        <v>22846.78</v>
      </c>
      <c r="L30" s="271" t="s">
        <v>621</v>
      </c>
      <c r="M30" s="615"/>
    </row>
    <row r="31" spans="1:15" s="91" customFormat="1" outlineLevel="1" x14ac:dyDescent="0.25">
      <c r="A31" s="260"/>
      <c r="B31" s="261" t="s">
        <v>67</v>
      </c>
      <c r="C31" s="252">
        <v>296075.71000000002</v>
      </c>
      <c r="D31" s="249">
        <f>E31+F31+G31</f>
        <v>296075.71000000002</v>
      </c>
      <c r="E31" s="250">
        <f>C31*0.72795</f>
        <v>215528.31309450002</v>
      </c>
      <c r="F31" s="250">
        <f>C31*5%</f>
        <v>14803.785500000002</v>
      </c>
      <c r="G31" s="251">
        <f>C31-E31-F31</f>
        <v>65743.611405500007</v>
      </c>
      <c r="H31" s="249"/>
      <c r="I31" s="250"/>
      <c r="J31" s="250"/>
      <c r="K31" s="251"/>
      <c r="L31" s="271" t="s">
        <v>743</v>
      </c>
      <c r="M31" s="615"/>
    </row>
    <row r="32" spans="1:15" s="9" customFormat="1" ht="30.75" customHeight="1" x14ac:dyDescent="0.2">
      <c r="A32" s="140">
        <v>6</v>
      </c>
      <c r="B32" s="60" t="s">
        <v>251</v>
      </c>
      <c r="C32" s="63">
        <f>SUM(C33:C40)</f>
        <v>4622139.92</v>
      </c>
      <c r="D32" s="40">
        <f t="shared" si="1"/>
        <v>4622139.92</v>
      </c>
      <c r="E32" s="75">
        <f>SUM(E33:E40)</f>
        <v>3647423.05</v>
      </c>
      <c r="F32" s="75">
        <f t="shared" ref="F32:G32" si="3">SUM(F33:F40)</f>
        <v>46221.4</v>
      </c>
      <c r="G32" s="75">
        <f t="shared" si="3"/>
        <v>928495.47</v>
      </c>
      <c r="H32" s="40">
        <f t="shared" si="0"/>
        <v>4326064.21</v>
      </c>
      <c r="I32" s="75">
        <f>SUM(I33:I39)</f>
        <v>3431894.74</v>
      </c>
      <c r="J32" s="75">
        <f>SUM(J33:J39)</f>
        <v>31417.61</v>
      </c>
      <c r="K32" s="80">
        <f>SUM(K33:K39)</f>
        <v>862751.86</v>
      </c>
      <c r="L32" s="35"/>
      <c r="M32" s="616"/>
      <c r="N32" s="9">
        <v>1000</v>
      </c>
      <c r="O32" s="9">
        <f>K32/N32</f>
        <v>862.75185999999997</v>
      </c>
    </row>
    <row r="33" spans="1:15" outlineLevel="1" x14ac:dyDescent="0.25">
      <c r="A33" s="10"/>
      <c r="B33" s="43" t="s">
        <v>68</v>
      </c>
      <c r="C33" s="47"/>
      <c r="D33" s="42">
        <f t="shared" si="1"/>
        <v>0</v>
      </c>
      <c r="E33" s="72"/>
      <c r="F33" s="72"/>
      <c r="G33" s="92"/>
      <c r="H33" s="42">
        <f t="shared" si="0"/>
        <v>0</v>
      </c>
      <c r="I33" s="72"/>
      <c r="J33" s="72"/>
      <c r="K33" s="92"/>
      <c r="L33" s="28"/>
      <c r="M33" s="601"/>
    </row>
    <row r="34" spans="1:15" s="91" customFormat="1" outlineLevel="1" x14ac:dyDescent="0.25">
      <c r="A34" s="260"/>
      <c r="B34" s="261" t="s">
        <v>64</v>
      </c>
      <c r="C34" s="252">
        <v>4246291.93</v>
      </c>
      <c r="D34" s="249">
        <f t="shared" si="1"/>
        <v>4246291.93</v>
      </c>
      <c r="E34" s="250">
        <v>3378957.8518975</v>
      </c>
      <c r="F34" s="250">
        <v>27429.000499999998</v>
      </c>
      <c r="G34" s="251">
        <v>839905.07760249998</v>
      </c>
      <c r="H34" s="249">
        <f t="shared" si="0"/>
        <v>4246291.93</v>
      </c>
      <c r="I34" s="250">
        <v>3378957.85</v>
      </c>
      <c r="J34" s="250">
        <v>27429</v>
      </c>
      <c r="K34" s="251">
        <v>839905.08</v>
      </c>
      <c r="L34" s="271" t="s">
        <v>839</v>
      </c>
      <c r="M34" s="665">
        <v>42634</v>
      </c>
    </row>
    <row r="35" spans="1:15" outlineLevel="1" x14ac:dyDescent="0.25">
      <c r="A35" s="10"/>
      <c r="B35" s="43" t="s">
        <v>65</v>
      </c>
      <c r="C35" s="47"/>
      <c r="D35" s="42">
        <f t="shared" si="1"/>
        <v>0</v>
      </c>
      <c r="E35" s="72"/>
      <c r="F35" s="72"/>
      <c r="G35" s="92"/>
      <c r="H35" s="42">
        <f t="shared" si="0"/>
        <v>0</v>
      </c>
      <c r="I35" s="72"/>
      <c r="J35" s="72"/>
      <c r="K35" s="92"/>
      <c r="L35" s="28"/>
      <c r="M35" s="601"/>
    </row>
    <row r="36" spans="1:15" outlineLevel="1" x14ac:dyDescent="0.25">
      <c r="A36" s="10"/>
      <c r="B36" s="43" t="s">
        <v>66</v>
      </c>
      <c r="C36" s="47"/>
      <c r="D36" s="42">
        <f t="shared" si="1"/>
        <v>0</v>
      </c>
      <c r="E36" s="72"/>
      <c r="F36" s="72"/>
      <c r="G36" s="92"/>
      <c r="H36" s="42">
        <f t="shared" si="0"/>
        <v>0</v>
      </c>
      <c r="I36" s="72"/>
      <c r="J36" s="72"/>
      <c r="K36" s="92"/>
      <c r="L36" s="28"/>
      <c r="M36" s="601"/>
    </row>
    <row r="37" spans="1:15" outlineLevel="1" x14ac:dyDescent="0.25">
      <c r="A37" s="10"/>
      <c r="B37" s="43" t="s">
        <v>557</v>
      </c>
      <c r="C37" s="47"/>
      <c r="D37" s="42">
        <f t="shared" si="1"/>
        <v>0</v>
      </c>
      <c r="E37" s="72"/>
      <c r="F37" s="72"/>
      <c r="G37" s="92"/>
      <c r="H37" s="42">
        <f t="shared" si="0"/>
        <v>0</v>
      </c>
      <c r="I37" s="72"/>
      <c r="J37" s="72"/>
      <c r="K37" s="92"/>
      <c r="L37" s="28"/>
      <c r="M37" s="601"/>
    </row>
    <row r="38" spans="1:15" outlineLevel="1" x14ac:dyDescent="0.25">
      <c r="A38" s="10"/>
      <c r="B38" s="43" t="s">
        <v>564</v>
      </c>
      <c r="C38" s="47"/>
      <c r="D38" s="42">
        <f t="shared" si="1"/>
        <v>0</v>
      </c>
      <c r="E38" s="72"/>
      <c r="F38" s="72"/>
      <c r="G38" s="92"/>
      <c r="H38" s="42">
        <f t="shared" si="0"/>
        <v>0</v>
      </c>
      <c r="I38" s="72"/>
      <c r="J38" s="72"/>
      <c r="K38" s="92"/>
      <c r="L38" s="28"/>
      <c r="M38" s="601"/>
    </row>
    <row r="39" spans="1:15" s="91" customFormat="1" outlineLevel="1" x14ac:dyDescent="0.25">
      <c r="A39" s="260"/>
      <c r="B39" s="261" t="s">
        <v>67</v>
      </c>
      <c r="C39" s="252">
        <v>79772.28</v>
      </c>
      <c r="D39" s="249">
        <f t="shared" si="1"/>
        <v>79772.28</v>
      </c>
      <c r="E39" s="250">
        <f>C39*0.6636</f>
        <v>52936.885007999997</v>
      </c>
      <c r="F39" s="250">
        <f>C39*5%</f>
        <v>3988.614</v>
      </c>
      <c r="G39" s="251">
        <f>C39-E39-F39</f>
        <v>22846.780992</v>
      </c>
      <c r="H39" s="249">
        <f t="shared" si="0"/>
        <v>79772.28</v>
      </c>
      <c r="I39" s="250">
        <v>52936.89</v>
      </c>
      <c r="J39" s="250">
        <v>3988.61</v>
      </c>
      <c r="K39" s="251">
        <v>22846.78</v>
      </c>
      <c r="L39" s="271" t="s">
        <v>621</v>
      </c>
      <c r="M39" s="615"/>
    </row>
    <row r="40" spans="1:15" s="91" customFormat="1" outlineLevel="1" x14ac:dyDescent="0.25">
      <c r="A40" s="260"/>
      <c r="B40" s="261" t="s">
        <v>67</v>
      </c>
      <c r="C40" s="252">
        <v>296075.71000000002</v>
      </c>
      <c r="D40" s="249">
        <f>E40+F40+G40</f>
        <v>296075.71000000002</v>
      </c>
      <c r="E40" s="250">
        <f>C40*0.72795</f>
        <v>215528.31309450002</v>
      </c>
      <c r="F40" s="250">
        <f>C40*5%</f>
        <v>14803.785500000002</v>
      </c>
      <c r="G40" s="251">
        <f>C40-E40-F40</f>
        <v>65743.611405500007</v>
      </c>
      <c r="H40" s="249"/>
      <c r="I40" s="250"/>
      <c r="J40" s="250"/>
      <c r="K40" s="251"/>
      <c r="L40" s="271" t="s">
        <v>743</v>
      </c>
      <c r="M40" s="615"/>
    </row>
    <row r="41" spans="1:15" s="9" customFormat="1" ht="30.75" customHeight="1" x14ac:dyDescent="0.2">
      <c r="A41" s="140">
        <v>7</v>
      </c>
      <c r="B41" s="60" t="s">
        <v>60</v>
      </c>
      <c r="C41" s="63">
        <f>SUM(C42:C47)</f>
        <v>5072336.8222000003</v>
      </c>
      <c r="D41" s="40">
        <f t="shared" si="1"/>
        <v>5072336.8221999994</v>
      </c>
      <c r="E41" s="75">
        <f>SUM(E42:E47)</f>
        <v>4036920.7153094895</v>
      </c>
      <c r="F41" s="75">
        <f>SUM(F42:F47)</f>
        <v>253616.83961000002</v>
      </c>
      <c r="G41" s="80">
        <f>SUM(G42:G47)</f>
        <v>781799.26728051004</v>
      </c>
      <c r="H41" s="40">
        <f t="shared" si="0"/>
        <v>131462.59</v>
      </c>
      <c r="I41" s="75">
        <f>SUM(I42:I47)</f>
        <v>91922.51999999999</v>
      </c>
      <c r="J41" s="75">
        <f>SUM(J42:J47)</f>
        <v>6573.1299999999992</v>
      </c>
      <c r="K41" s="80">
        <f>SUM(K42:K47)</f>
        <v>32966.94</v>
      </c>
      <c r="L41" s="35"/>
      <c r="M41" s="616"/>
      <c r="N41" s="9">
        <v>1000</v>
      </c>
      <c r="O41" s="9">
        <f>K41/N41</f>
        <v>32.966940000000001</v>
      </c>
    </row>
    <row r="42" spans="1:15" s="91" customFormat="1" outlineLevel="1" x14ac:dyDescent="0.25">
      <c r="A42" s="260"/>
      <c r="B42" s="261" t="s">
        <v>68</v>
      </c>
      <c r="C42" s="252">
        <v>847688.28</v>
      </c>
      <c r="D42" s="249">
        <f t="shared" si="1"/>
        <v>847688.28</v>
      </c>
      <c r="E42" s="250">
        <v>676829.35</v>
      </c>
      <c r="F42" s="250">
        <v>42384.42</v>
      </c>
      <c r="G42" s="251">
        <v>128474.51</v>
      </c>
      <c r="H42" s="249">
        <f t="shared" si="0"/>
        <v>0</v>
      </c>
      <c r="I42" s="250"/>
      <c r="J42" s="250"/>
      <c r="K42" s="251"/>
      <c r="L42" s="271" t="s">
        <v>855</v>
      </c>
      <c r="M42" s="619">
        <v>42640</v>
      </c>
    </row>
    <row r="43" spans="1:15" s="91" customFormat="1" outlineLevel="1" x14ac:dyDescent="0.25">
      <c r="A43" s="260"/>
      <c r="B43" s="261" t="s">
        <v>66</v>
      </c>
      <c r="C43" s="252">
        <v>213306</v>
      </c>
      <c r="D43" s="249">
        <f t="shared" si="1"/>
        <v>213306</v>
      </c>
      <c r="E43" s="250">
        <v>170312.33000000002</v>
      </c>
      <c r="F43" s="250">
        <v>10665.3</v>
      </c>
      <c r="G43" s="251">
        <v>32328.370000000003</v>
      </c>
      <c r="H43" s="249">
        <f t="shared" si="0"/>
        <v>0</v>
      </c>
      <c r="I43" s="250"/>
      <c r="J43" s="250"/>
      <c r="K43" s="251"/>
      <c r="L43" s="271" t="s">
        <v>855</v>
      </c>
      <c r="M43" s="619">
        <v>42640</v>
      </c>
    </row>
    <row r="44" spans="1:15" s="91" customFormat="1" outlineLevel="1" x14ac:dyDescent="0.25">
      <c r="A44" s="260"/>
      <c r="B44" s="261" t="s">
        <v>555</v>
      </c>
      <c r="C44" s="252">
        <v>3879879.95</v>
      </c>
      <c r="D44" s="249">
        <f t="shared" si="1"/>
        <v>3879879.95</v>
      </c>
      <c r="E44" s="250">
        <v>3097856.51</v>
      </c>
      <c r="F44" s="250">
        <v>193993.99000000002</v>
      </c>
      <c r="G44" s="251">
        <v>588029.45000000007</v>
      </c>
      <c r="H44" s="249">
        <f t="shared" si="0"/>
        <v>0</v>
      </c>
      <c r="I44" s="250"/>
      <c r="J44" s="250"/>
      <c r="K44" s="251"/>
      <c r="L44" s="271" t="s">
        <v>855</v>
      </c>
      <c r="M44" s="619">
        <v>42640</v>
      </c>
    </row>
    <row r="45" spans="1:15" outlineLevel="1" x14ac:dyDescent="0.25">
      <c r="A45" s="10"/>
      <c r="B45" s="43" t="s">
        <v>557</v>
      </c>
      <c r="C45" s="47"/>
      <c r="D45" s="42">
        <f t="shared" si="1"/>
        <v>0</v>
      </c>
      <c r="E45" s="72"/>
      <c r="F45" s="72"/>
      <c r="G45" s="92"/>
      <c r="H45" s="42">
        <f t="shared" si="0"/>
        <v>0</v>
      </c>
      <c r="I45" s="72"/>
      <c r="J45" s="72"/>
      <c r="K45" s="92"/>
      <c r="L45" s="28"/>
      <c r="M45" s="601"/>
    </row>
    <row r="46" spans="1:15" s="91" customFormat="1" outlineLevel="1" x14ac:dyDescent="0.25">
      <c r="A46" s="260"/>
      <c r="B46" s="261" t="s">
        <v>67</v>
      </c>
      <c r="C46" s="252">
        <v>72788.642200000002</v>
      </c>
      <c r="D46" s="249">
        <f>E46+F46+G46</f>
        <v>72788.642200000002</v>
      </c>
      <c r="E46" s="250">
        <f>C46*0.72795</f>
        <v>52986.492089489999</v>
      </c>
      <c r="F46" s="250">
        <f>C46*0.05</f>
        <v>3639.4321100000002</v>
      </c>
      <c r="G46" s="251">
        <f>C46-E46-F46</f>
        <v>16162.718000510004</v>
      </c>
      <c r="H46" s="249">
        <f>I46+J46+K46</f>
        <v>72788.639999999999</v>
      </c>
      <c r="I46" s="250">
        <v>52986.49</v>
      </c>
      <c r="J46" s="250">
        <v>3639.43</v>
      </c>
      <c r="K46" s="251">
        <v>16162.72</v>
      </c>
      <c r="L46" s="271" t="s">
        <v>734</v>
      </c>
      <c r="M46" s="615"/>
    </row>
    <row r="47" spans="1:15" s="91" customFormat="1" outlineLevel="1" x14ac:dyDescent="0.25">
      <c r="A47" s="260"/>
      <c r="B47" s="261" t="s">
        <v>67</v>
      </c>
      <c r="C47" s="252">
        <v>58673.95</v>
      </c>
      <c r="D47" s="249">
        <f t="shared" si="1"/>
        <v>58673.95</v>
      </c>
      <c r="E47" s="250">
        <f>C47*0.6636</f>
        <v>38936.033219999998</v>
      </c>
      <c r="F47" s="250">
        <f>C47*5%</f>
        <v>2933.6975000000002</v>
      </c>
      <c r="G47" s="251">
        <f>C47-E47-F47</f>
        <v>16804.219279999998</v>
      </c>
      <c r="H47" s="249">
        <f t="shared" si="0"/>
        <v>58673.95</v>
      </c>
      <c r="I47" s="250">
        <v>38936.03</v>
      </c>
      <c r="J47" s="250">
        <v>2933.7</v>
      </c>
      <c r="K47" s="251">
        <v>16804.22</v>
      </c>
      <c r="L47" s="271" t="s">
        <v>621</v>
      </c>
      <c r="M47" s="615"/>
    </row>
    <row r="48" spans="1:15" s="9" customFormat="1" ht="30.75" customHeight="1" x14ac:dyDescent="0.2">
      <c r="A48" s="140">
        <v>8</v>
      </c>
      <c r="B48" s="60" t="s">
        <v>252</v>
      </c>
      <c r="C48" s="63">
        <f>SUM(C49:C55)</f>
        <v>12239270.809999999</v>
      </c>
      <c r="D48" s="40">
        <f t="shared" si="1"/>
        <v>12239270.809999999</v>
      </c>
      <c r="E48" s="75">
        <f>SUM(E49:E55)</f>
        <v>8954285.5812704992</v>
      </c>
      <c r="F48" s="75">
        <f>SUM(F49:F55)</f>
        <v>611963.5405</v>
      </c>
      <c r="G48" s="80">
        <f>SUM(G49:G55)</f>
        <v>2673021.6882294994</v>
      </c>
      <c r="H48" s="40">
        <f t="shared" si="0"/>
        <v>12239270.810000001</v>
      </c>
      <c r="I48" s="75">
        <f>SUM(I49:I55)</f>
        <v>8909577.1900000013</v>
      </c>
      <c r="J48" s="75">
        <f>SUM(J49:J55)</f>
        <v>611963.54</v>
      </c>
      <c r="K48" s="80">
        <f>SUM(K49:K55)</f>
        <v>2717730.08</v>
      </c>
      <c r="L48" s="35"/>
      <c r="M48" s="616"/>
      <c r="N48" s="9">
        <v>1000</v>
      </c>
      <c r="O48" s="9">
        <f>K48/N48</f>
        <v>2717.7300800000003</v>
      </c>
    </row>
    <row r="49" spans="1:15" s="91" customFormat="1" outlineLevel="1" x14ac:dyDescent="0.25">
      <c r="A49" s="260"/>
      <c r="B49" s="261" t="s">
        <v>68</v>
      </c>
      <c r="C49" s="252">
        <v>1730042.27</v>
      </c>
      <c r="D49" s="249">
        <f t="shared" si="1"/>
        <v>1730042.27</v>
      </c>
      <c r="E49" s="250">
        <f>C49*0.72795</f>
        <v>1259384.2704465</v>
      </c>
      <c r="F49" s="250">
        <f>C49*0.05</f>
        <v>86502.113500000007</v>
      </c>
      <c r="G49" s="251">
        <f>C49-E49-F49</f>
        <v>384155.8860535</v>
      </c>
      <c r="H49" s="249">
        <f t="shared" si="0"/>
        <v>1730042.27</v>
      </c>
      <c r="I49" s="250">
        <v>1178988.68</v>
      </c>
      <c r="J49" s="250">
        <v>86502.11</v>
      </c>
      <c r="K49" s="251">
        <v>464551.48</v>
      </c>
      <c r="L49" s="271" t="s">
        <v>711</v>
      </c>
      <c r="M49" s="615"/>
    </row>
    <row r="50" spans="1:15" outlineLevel="1" x14ac:dyDescent="0.25">
      <c r="A50" s="10"/>
      <c r="B50" s="43" t="s">
        <v>64</v>
      </c>
      <c r="C50" s="47"/>
      <c r="D50" s="42">
        <f t="shared" si="1"/>
        <v>0</v>
      </c>
      <c r="E50" s="72"/>
      <c r="F50" s="72"/>
      <c r="G50" s="92"/>
      <c r="H50" s="42">
        <f t="shared" si="0"/>
        <v>0</v>
      </c>
      <c r="I50" s="72"/>
      <c r="J50" s="72"/>
      <c r="K50" s="92"/>
      <c r="L50" s="28"/>
      <c r="M50" s="601"/>
    </row>
    <row r="51" spans="1:15" outlineLevel="1" x14ac:dyDescent="0.25">
      <c r="A51" s="10"/>
      <c r="B51" s="43" t="s">
        <v>65</v>
      </c>
      <c r="C51" s="47"/>
      <c r="D51" s="42">
        <f t="shared" si="1"/>
        <v>0</v>
      </c>
      <c r="E51" s="72"/>
      <c r="F51" s="72"/>
      <c r="G51" s="92"/>
      <c r="H51" s="42">
        <f t="shared" si="0"/>
        <v>0</v>
      </c>
      <c r="I51" s="72"/>
      <c r="J51" s="72"/>
      <c r="K51" s="92"/>
      <c r="L51" s="28"/>
      <c r="M51" s="601"/>
    </row>
    <row r="52" spans="1:15" outlineLevel="1" x14ac:dyDescent="0.25">
      <c r="A52" s="10"/>
      <c r="B52" s="43" t="s">
        <v>66</v>
      </c>
      <c r="C52" s="47"/>
      <c r="D52" s="42">
        <f t="shared" si="1"/>
        <v>0</v>
      </c>
      <c r="E52" s="72"/>
      <c r="F52" s="72"/>
      <c r="G52" s="92"/>
      <c r="H52" s="42">
        <f t="shared" si="0"/>
        <v>0</v>
      </c>
      <c r="I52" s="72"/>
      <c r="J52" s="72"/>
      <c r="K52" s="92"/>
      <c r="L52" s="28"/>
      <c r="M52" s="601"/>
    </row>
    <row r="53" spans="1:15" s="91" customFormat="1" outlineLevel="1" x14ac:dyDescent="0.25">
      <c r="A53" s="260"/>
      <c r="B53" s="261" t="s">
        <v>555</v>
      </c>
      <c r="C53" s="252">
        <v>10013572.939999999</v>
      </c>
      <c r="D53" s="249">
        <f t="shared" ref="D53" si="4">SUM(E53:G53)</f>
        <v>10013572.939999999</v>
      </c>
      <c r="E53" s="250">
        <f>C53*0.7356</f>
        <v>7365984.2546640001</v>
      </c>
      <c r="F53" s="250">
        <f>C53*0.05</f>
        <v>500678.647</v>
      </c>
      <c r="G53" s="251">
        <f>C53-E53-F53</f>
        <v>2146910.0383359995</v>
      </c>
      <c r="H53" s="249">
        <f t="shared" si="0"/>
        <v>10013572.940000001</v>
      </c>
      <c r="I53" s="250">
        <v>7401671.4500000002</v>
      </c>
      <c r="J53" s="250">
        <v>500678.65</v>
      </c>
      <c r="K53" s="251">
        <v>2111222.84</v>
      </c>
      <c r="L53" s="271" t="s">
        <v>711</v>
      </c>
      <c r="M53" s="615"/>
    </row>
    <row r="54" spans="1:15" outlineLevel="1" x14ac:dyDescent="0.25">
      <c r="A54" s="10"/>
      <c r="B54" s="43" t="s">
        <v>557</v>
      </c>
      <c r="C54" s="47"/>
      <c r="D54" s="42">
        <f t="shared" si="1"/>
        <v>0</v>
      </c>
      <c r="E54" s="72"/>
      <c r="F54" s="72"/>
      <c r="G54" s="92"/>
      <c r="H54" s="42">
        <f t="shared" si="0"/>
        <v>0</v>
      </c>
      <c r="I54" s="72"/>
      <c r="J54" s="72"/>
      <c r="K54" s="92"/>
      <c r="L54" s="28"/>
      <c r="M54" s="601"/>
    </row>
    <row r="55" spans="1:15" s="91" customFormat="1" outlineLevel="1" x14ac:dyDescent="0.25">
      <c r="A55" s="260"/>
      <c r="B55" s="261" t="s">
        <v>67</v>
      </c>
      <c r="C55" s="252">
        <v>495655.6</v>
      </c>
      <c r="D55" s="249">
        <f t="shared" si="1"/>
        <v>495655.6</v>
      </c>
      <c r="E55" s="250">
        <f>C55*0.6636</f>
        <v>328917.05615999998</v>
      </c>
      <c r="F55" s="250">
        <f>C55*5%</f>
        <v>24782.78</v>
      </c>
      <c r="G55" s="251">
        <f>C55-E55-F55</f>
        <v>141955.76384</v>
      </c>
      <c r="H55" s="249">
        <f t="shared" si="0"/>
        <v>495655.6</v>
      </c>
      <c r="I55" s="250">
        <v>328917.06</v>
      </c>
      <c r="J55" s="250">
        <v>24782.78</v>
      </c>
      <c r="K55" s="251">
        <v>141955.76</v>
      </c>
      <c r="L55" s="271" t="s">
        <v>621</v>
      </c>
      <c r="M55" s="615"/>
    </row>
    <row r="56" spans="1:15" s="395" customFormat="1" ht="29.25" customHeight="1" x14ac:dyDescent="0.2">
      <c r="A56" s="391">
        <v>9</v>
      </c>
      <c r="B56" s="392" t="s">
        <v>258</v>
      </c>
      <c r="C56" s="290">
        <f>SUM(C57:C58)</f>
        <v>8667738.0930000003</v>
      </c>
      <c r="D56" s="288">
        <f t="shared" si="1"/>
        <v>8667738.0930000003</v>
      </c>
      <c r="E56" s="289">
        <f>SUM(E57:E58)</f>
        <v>6286103.6971863899</v>
      </c>
      <c r="F56" s="289">
        <f>SUM(F57:F58)</f>
        <v>433386.90464999998</v>
      </c>
      <c r="G56" s="247">
        <f>SUM(G57:G58)</f>
        <v>1948247.4911636098</v>
      </c>
      <c r="H56" s="288">
        <f t="shared" si="0"/>
        <v>8667738.0899999999</v>
      </c>
      <c r="I56" s="289">
        <f>SUM(I57:I58)</f>
        <v>6286103.6999999993</v>
      </c>
      <c r="J56" s="289">
        <f>SUM(J57:J58)</f>
        <v>433386.91</v>
      </c>
      <c r="K56" s="247">
        <f>SUM(K57:K58)</f>
        <v>1948247.48</v>
      </c>
      <c r="L56" s="400"/>
      <c r="M56" s="614"/>
      <c r="N56" s="395">
        <v>1000</v>
      </c>
      <c r="O56" s="395">
        <f>K56/N56</f>
        <v>1948.24748</v>
      </c>
    </row>
    <row r="57" spans="1:15" s="91" customFormat="1" outlineLevel="1" x14ac:dyDescent="0.25">
      <c r="A57" s="260"/>
      <c r="B57" s="261" t="s">
        <v>555</v>
      </c>
      <c r="C57" s="252">
        <v>8572791.9299999997</v>
      </c>
      <c r="D57" s="249">
        <f t="shared" si="1"/>
        <v>8572791.9299999997</v>
      </c>
      <c r="E57" s="250">
        <f>C57*0.72523</f>
        <v>6217245.8913938999</v>
      </c>
      <c r="F57" s="250">
        <f>C57*0.05</f>
        <v>428639.59649999999</v>
      </c>
      <c r="G57" s="251">
        <f>C57-E57-F57</f>
        <v>1926906.4421060998</v>
      </c>
      <c r="H57" s="249">
        <f t="shared" si="0"/>
        <v>8572791.9299999997</v>
      </c>
      <c r="I57" s="250">
        <v>6217245.8899999997</v>
      </c>
      <c r="J57" s="250">
        <v>428639.6</v>
      </c>
      <c r="K57" s="251">
        <v>1926906.44</v>
      </c>
      <c r="L57" s="271" t="s">
        <v>737</v>
      </c>
      <c r="M57" s="615"/>
    </row>
    <row r="58" spans="1:15" s="91" customFormat="1" outlineLevel="1" x14ac:dyDescent="0.25">
      <c r="A58" s="260"/>
      <c r="B58" s="261" t="s">
        <v>67</v>
      </c>
      <c r="C58" s="252">
        <v>94946.163</v>
      </c>
      <c r="D58" s="249">
        <f t="shared" si="1"/>
        <v>94946.163</v>
      </c>
      <c r="E58" s="250">
        <f>C58*0.72523</f>
        <v>68857.805792490006</v>
      </c>
      <c r="F58" s="250">
        <f>C58*0.05</f>
        <v>4747.3081499999998</v>
      </c>
      <c r="G58" s="251">
        <f>C58-E58-F58</f>
        <v>21341.049057509994</v>
      </c>
      <c r="H58" s="249">
        <f t="shared" si="0"/>
        <v>94946.16</v>
      </c>
      <c r="I58" s="250">
        <v>68857.81</v>
      </c>
      <c r="J58" s="250">
        <v>4747.3100000000004</v>
      </c>
      <c r="K58" s="251">
        <v>21341.040000000001</v>
      </c>
      <c r="L58" s="271" t="s">
        <v>734</v>
      </c>
      <c r="M58" s="615"/>
    </row>
    <row r="59" spans="1:15" s="91" customFormat="1" ht="30" customHeight="1" outlineLevel="1" x14ac:dyDescent="0.25">
      <c r="A59" s="391">
        <v>10</v>
      </c>
      <c r="B59" s="392" t="s">
        <v>615</v>
      </c>
      <c r="C59" s="290">
        <f>C60</f>
        <v>11962988.68</v>
      </c>
      <c r="D59" s="288">
        <f t="shared" si="1"/>
        <v>11962988.68</v>
      </c>
      <c r="E59" s="289">
        <f>SUM(E60:E60)</f>
        <v>8799974.4730079994</v>
      </c>
      <c r="F59" s="289">
        <f>SUM(F60:F60)</f>
        <v>598149.43400000001</v>
      </c>
      <c r="G59" s="289">
        <f>SUM(G60:G60)</f>
        <v>2564864.7729920004</v>
      </c>
      <c r="H59" s="288">
        <f t="shared" ref="H59" si="5">SUM(I59:K59)</f>
        <v>11962988.68</v>
      </c>
      <c r="I59" s="289">
        <f>SUM(I60:I60)</f>
        <v>8799974.4800000004</v>
      </c>
      <c r="J59" s="289">
        <f>SUM(J60:J60)</f>
        <v>598149.43000000005</v>
      </c>
      <c r="K59" s="289">
        <f>SUM(K60:K60)</f>
        <v>2564864.77</v>
      </c>
      <c r="L59" s="271"/>
      <c r="M59" s="615"/>
      <c r="N59" s="395">
        <v>1000</v>
      </c>
      <c r="O59" s="395">
        <f>K59/N59</f>
        <v>2564.8647700000001</v>
      </c>
    </row>
    <row r="60" spans="1:15" s="91" customFormat="1" outlineLevel="1" x14ac:dyDescent="0.25">
      <c r="A60" s="260"/>
      <c r="B60" s="261" t="s">
        <v>557</v>
      </c>
      <c r="C60" s="252">
        <v>11962988.68</v>
      </c>
      <c r="D60" s="249">
        <f t="shared" si="1"/>
        <v>11962988.68</v>
      </c>
      <c r="E60" s="250">
        <f>C60*0.7356</f>
        <v>8799974.4730079994</v>
      </c>
      <c r="F60" s="250">
        <f>C60*0.05</f>
        <v>598149.43400000001</v>
      </c>
      <c r="G60" s="251">
        <f>C60-E60-F60</f>
        <v>2564864.7729920004</v>
      </c>
      <c r="H60" s="249">
        <f t="shared" si="0"/>
        <v>11962988.68</v>
      </c>
      <c r="I60" s="250">
        <v>8799974.4800000004</v>
      </c>
      <c r="J60" s="250">
        <v>598149.43000000005</v>
      </c>
      <c r="K60" s="251">
        <v>2564864.77</v>
      </c>
      <c r="L60" s="271" t="s">
        <v>662</v>
      </c>
      <c r="M60" s="615"/>
    </row>
    <row r="61" spans="1:15" s="9" customFormat="1" ht="27" customHeight="1" x14ac:dyDescent="0.2">
      <c r="A61" s="140">
        <v>11</v>
      </c>
      <c r="B61" s="60" t="s">
        <v>61</v>
      </c>
      <c r="C61" s="63">
        <f>SUM(C62:C66)</f>
        <v>8009241.46</v>
      </c>
      <c r="D61" s="40">
        <f t="shared" si="1"/>
        <v>8009241.46</v>
      </c>
      <c r="E61" s="75">
        <f>SUM(E62:E66)</f>
        <v>5830315.0445203222</v>
      </c>
      <c r="F61" s="75">
        <f>SUM(F62:F66)</f>
        <v>400462.06801368034</v>
      </c>
      <c r="G61" s="80">
        <f>SUM(G62:G66)</f>
        <v>1778464.3474659976</v>
      </c>
      <c r="H61" s="40">
        <f t="shared" si="0"/>
        <v>8009241.4500000002</v>
      </c>
      <c r="I61" s="75">
        <f>SUM(I62:I66)</f>
        <v>5830315.0300000003</v>
      </c>
      <c r="J61" s="75">
        <f>SUM(J62:J66)</f>
        <v>400462.08000000007</v>
      </c>
      <c r="K61" s="80">
        <f>SUM(K62:K66)</f>
        <v>1778464.3399999999</v>
      </c>
      <c r="L61" s="35"/>
      <c r="M61" s="616"/>
      <c r="N61" s="9">
        <v>1000</v>
      </c>
      <c r="O61" s="9">
        <f>K61/N61</f>
        <v>1778.4643399999998</v>
      </c>
    </row>
    <row r="62" spans="1:15" s="91" customFormat="1" outlineLevel="1" x14ac:dyDescent="0.25">
      <c r="A62" s="260"/>
      <c r="B62" s="261" t="s">
        <v>68</v>
      </c>
      <c r="C62" s="252">
        <v>2046945.34</v>
      </c>
      <c r="D62" s="249">
        <f t="shared" si="1"/>
        <v>2046945.34</v>
      </c>
      <c r="E62" s="250">
        <v>1491228.400050814</v>
      </c>
      <c r="F62" s="250">
        <v>102347.26571443115</v>
      </c>
      <c r="G62" s="251">
        <v>453369.67423475493</v>
      </c>
      <c r="H62" s="249">
        <f t="shared" si="0"/>
        <v>2046945.3399999999</v>
      </c>
      <c r="I62" s="250">
        <v>1491228.4</v>
      </c>
      <c r="J62" s="250">
        <v>102347.27</v>
      </c>
      <c r="K62" s="251">
        <v>453369.67</v>
      </c>
      <c r="L62" s="271" t="s">
        <v>777</v>
      </c>
      <c r="M62" s="619">
        <v>42565</v>
      </c>
    </row>
    <row r="63" spans="1:15" s="91" customFormat="1" outlineLevel="1" x14ac:dyDescent="0.25">
      <c r="A63" s="260"/>
      <c r="B63" s="261" t="s">
        <v>66</v>
      </c>
      <c r="C63" s="252">
        <v>581252.94999999995</v>
      </c>
      <c r="D63" s="249">
        <f t="shared" si="1"/>
        <v>581252.94999999995</v>
      </c>
      <c r="E63" s="250">
        <v>423450.9293996662</v>
      </c>
      <c r="F63" s="250">
        <v>29062.647134948391</v>
      </c>
      <c r="G63" s="251">
        <v>128739.37346538539</v>
      </c>
      <c r="H63" s="249">
        <f t="shared" si="0"/>
        <v>581252.94999999995</v>
      </c>
      <c r="I63" s="250">
        <v>423450.93</v>
      </c>
      <c r="J63" s="250">
        <v>29062.65</v>
      </c>
      <c r="K63" s="251">
        <v>128739.37</v>
      </c>
      <c r="L63" s="271" t="s">
        <v>777</v>
      </c>
      <c r="M63" s="619">
        <v>42536</v>
      </c>
    </row>
    <row r="64" spans="1:15" s="91" customFormat="1" outlineLevel="1" x14ac:dyDescent="0.25">
      <c r="A64" s="260"/>
      <c r="B64" s="261" t="s">
        <v>555</v>
      </c>
      <c r="C64" s="252">
        <v>5311262.67</v>
      </c>
      <c r="D64" s="249">
        <f t="shared" si="1"/>
        <v>5311262.67</v>
      </c>
      <c r="E64" s="250">
        <v>3869329.3752698419</v>
      </c>
      <c r="F64" s="250">
        <v>265563.13016430079</v>
      </c>
      <c r="G64" s="251">
        <v>1176370.1645658573</v>
      </c>
      <c r="H64" s="249">
        <f t="shared" ref="H64:H97" si="6">I64+J64+K64</f>
        <v>5311262.66</v>
      </c>
      <c r="I64" s="250">
        <v>3869329.37</v>
      </c>
      <c r="J64" s="250">
        <v>265563.13</v>
      </c>
      <c r="K64" s="251">
        <v>1176370.1599999999</v>
      </c>
      <c r="L64" s="271" t="s">
        <v>777</v>
      </c>
      <c r="M64" s="619">
        <v>42565</v>
      </c>
    </row>
    <row r="65" spans="1:15" outlineLevel="1" x14ac:dyDescent="0.25">
      <c r="A65" s="10"/>
      <c r="B65" s="43" t="s">
        <v>557</v>
      </c>
      <c r="C65" s="47"/>
      <c r="D65" s="42">
        <f t="shared" ref="D65:D97" si="7">SUM(E65:G65)</f>
        <v>0</v>
      </c>
      <c r="E65" s="72"/>
      <c r="F65" s="72"/>
      <c r="G65" s="92"/>
      <c r="H65" s="42">
        <f t="shared" si="6"/>
        <v>0</v>
      </c>
      <c r="I65" s="72"/>
      <c r="J65" s="72"/>
      <c r="K65" s="92"/>
      <c r="L65" s="28"/>
      <c r="M65" s="601"/>
    </row>
    <row r="66" spans="1:15" s="91" customFormat="1" outlineLevel="1" x14ac:dyDescent="0.25">
      <c r="A66" s="260"/>
      <c r="B66" s="261" t="s">
        <v>67</v>
      </c>
      <c r="C66" s="252">
        <v>69780.5</v>
      </c>
      <c r="D66" s="249">
        <f t="shared" si="7"/>
        <v>69780.5</v>
      </c>
      <c r="E66" s="250">
        <f>C66*0.6636</f>
        <v>46306.339799999994</v>
      </c>
      <c r="F66" s="250">
        <f>C66*5%</f>
        <v>3489.0250000000001</v>
      </c>
      <c r="G66" s="251">
        <f>C66-E66-F66</f>
        <v>19985.135200000004</v>
      </c>
      <c r="H66" s="249">
        <f t="shared" si="6"/>
        <v>69780.5</v>
      </c>
      <c r="I66" s="250">
        <v>46306.33</v>
      </c>
      <c r="J66" s="250">
        <v>3489.03</v>
      </c>
      <c r="K66" s="251">
        <v>19985.14</v>
      </c>
      <c r="L66" s="271" t="s">
        <v>621</v>
      </c>
      <c r="M66" s="615"/>
    </row>
    <row r="67" spans="1:15" s="9" customFormat="1" ht="30.75" customHeight="1" x14ac:dyDescent="0.2">
      <c r="A67" s="140">
        <v>12</v>
      </c>
      <c r="B67" s="60" t="s">
        <v>253</v>
      </c>
      <c r="C67" s="63">
        <f>SUM(C68:C69)</f>
        <v>0</v>
      </c>
      <c r="D67" s="42">
        <f t="shared" si="7"/>
        <v>0</v>
      </c>
      <c r="E67" s="75">
        <f>SUM(E68:E69)</f>
        <v>0</v>
      </c>
      <c r="F67" s="75">
        <f>SUM(F68:F69)</f>
        <v>0</v>
      </c>
      <c r="G67" s="80">
        <f>SUM(G68:G69)</f>
        <v>0</v>
      </c>
      <c r="H67" s="40">
        <f t="shared" si="6"/>
        <v>0</v>
      </c>
      <c r="I67" s="75">
        <f>SUM(I68:I69)</f>
        <v>0</v>
      </c>
      <c r="J67" s="75">
        <f>SUM(J68:J69)</f>
        <v>0</v>
      </c>
      <c r="K67" s="80">
        <f>SUM(K68:K69)</f>
        <v>0</v>
      </c>
      <c r="L67" s="35"/>
      <c r="M67" s="616"/>
      <c r="N67" s="9">
        <v>1000</v>
      </c>
      <c r="O67" s="9">
        <f>K67/N67</f>
        <v>0</v>
      </c>
    </row>
    <row r="68" spans="1:15" outlineLevel="1" x14ac:dyDescent="0.25">
      <c r="A68" s="10"/>
      <c r="B68" s="43" t="s">
        <v>564</v>
      </c>
      <c r="C68" s="47"/>
      <c r="D68" s="42">
        <f t="shared" si="7"/>
        <v>0</v>
      </c>
      <c r="E68" s="72"/>
      <c r="F68" s="72"/>
      <c r="G68" s="92"/>
      <c r="H68" s="42">
        <f t="shared" si="6"/>
        <v>0</v>
      </c>
      <c r="I68" s="72"/>
      <c r="J68" s="72"/>
      <c r="K68" s="92"/>
      <c r="L68" s="28"/>
      <c r="M68" s="601"/>
    </row>
    <row r="69" spans="1:15" outlineLevel="1" x14ac:dyDescent="0.25">
      <c r="A69" s="10"/>
      <c r="B69" s="43" t="s">
        <v>67</v>
      </c>
      <c r="C69" s="47"/>
      <c r="D69" s="42">
        <f t="shared" si="7"/>
        <v>0</v>
      </c>
      <c r="E69" s="72"/>
      <c r="F69" s="72"/>
      <c r="G69" s="92"/>
      <c r="H69" s="42">
        <f t="shared" si="6"/>
        <v>0</v>
      </c>
      <c r="I69" s="72"/>
      <c r="J69" s="72"/>
      <c r="K69" s="92"/>
      <c r="L69" s="28"/>
      <c r="M69" s="601"/>
    </row>
    <row r="70" spans="1:15" s="9" customFormat="1" ht="32.25" customHeight="1" x14ac:dyDescent="0.2">
      <c r="A70" s="140">
        <v>13</v>
      </c>
      <c r="B70" s="60" t="s">
        <v>254</v>
      </c>
      <c r="C70" s="63">
        <f>SUM(C71:C77)</f>
        <v>341569.5</v>
      </c>
      <c r="D70" s="40">
        <f t="shared" si="7"/>
        <v>341569.5</v>
      </c>
      <c r="E70" s="75">
        <f>SUM(E71:E77)</f>
        <v>226665.5202</v>
      </c>
      <c r="F70" s="75">
        <f>SUM(F71:F77)</f>
        <v>17078.475000000002</v>
      </c>
      <c r="G70" s="80">
        <f>SUM(G71:G77)</f>
        <v>97825.504799999995</v>
      </c>
      <c r="H70" s="40">
        <f t="shared" si="6"/>
        <v>341569.5</v>
      </c>
      <c r="I70" s="75">
        <f>SUM(I71:I77)</f>
        <v>226665.52</v>
      </c>
      <c r="J70" s="75">
        <f>SUM(J71:J77)</f>
        <v>17078.48</v>
      </c>
      <c r="K70" s="80">
        <f>SUM(K71:K77)</f>
        <v>97825.5</v>
      </c>
      <c r="L70" s="35"/>
      <c r="M70" s="616"/>
      <c r="N70" s="9">
        <v>1000</v>
      </c>
      <c r="O70" s="9">
        <f>K70/N70</f>
        <v>97.825500000000005</v>
      </c>
    </row>
    <row r="71" spans="1:15" outlineLevel="1" x14ac:dyDescent="0.25">
      <c r="A71" s="10"/>
      <c r="B71" s="43" t="s">
        <v>68</v>
      </c>
      <c r="C71" s="47"/>
      <c r="D71" s="42">
        <f t="shared" si="7"/>
        <v>0</v>
      </c>
      <c r="E71" s="72"/>
      <c r="F71" s="72"/>
      <c r="G71" s="92"/>
      <c r="H71" s="42">
        <f t="shared" si="6"/>
        <v>0</v>
      </c>
      <c r="I71" s="72"/>
      <c r="J71" s="72"/>
      <c r="K71" s="92"/>
      <c r="L71" s="28"/>
      <c r="M71" s="601"/>
    </row>
    <row r="72" spans="1:15" outlineLevel="1" x14ac:dyDescent="0.25">
      <c r="A72" s="10"/>
      <c r="B72" s="43" t="s">
        <v>64</v>
      </c>
      <c r="C72" s="47"/>
      <c r="D72" s="42">
        <f t="shared" si="7"/>
        <v>0</v>
      </c>
      <c r="E72" s="72"/>
      <c r="F72" s="72"/>
      <c r="G72" s="92"/>
      <c r="H72" s="42">
        <f t="shared" si="6"/>
        <v>0</v>
      </c>
      <c r="I72" s="72"/>
      <c r="J72" s="72"/>
      <c r="K72" s="92"/>
      <c r="L72" s="28"/>
      <c r="M72" s="601"/>
    </row>
    <row r="73" spans="1:15" outlineLevel="1" x14ac:dyDescent="0.25">
      <c r="A73" s="10"/>
      <c r="B73" s="43" t="s">
        <v>65</v>
      </c>
      <c r="C73" s="47"/>
      <c r="D73" s="42">
        <f t="shared" si="7"/>
        <v>0</v>
      </c>
      <c r="E73" s="72"/>
      <c r="F73" s="72"/>
      <c r="G73" s="92"/>
      <c r="H73" s="42">
        <f t="shared" si="6"/>
        <v>0</v>
      </c>
      <c r="I73" s="72"/>
      <c r="J73" s="72"/>
      <c r="K73" s="92"/>
      <c r="L73" s="28"/>
      <c r="M73" s="601"/>
    </row>
    <row r="74" spans="1:15" outlineLevel="1" x14ac:dyDescent="0.25">
      <c r="A74" s="10"/>
      <c r="B74" s="43" t="s">
        <v>66</v>
      </c>
      <c r="C74" s="47"/>
      <c r="D74" s="42">
        <f t="shared" si="7"/>
        <v>0</v>
      </c>
      <c r="E74" s="72"/>
      <c r="F74" s="72"/>
      <c r="G74" s="92"/>
      <c r="H74" s="42">
        <f t="shared" si="6"/>
        <v>0</v>
      </c>
      <c r="I74" s="72"/>
      <c r="J74" s="72"/>
      <c r="K74" s="92"/>
      <c r="L74" s="28"/>
      <c r="M74" s="601"/>
    </row>
    <row r="75" spans="1:15" outlineLevel="1" x14ac:dyDescent="0.25">
      <c r="A75" s="10"/>
      <c r="B75" s="43" t="s">
        <v>555</v>
      </c>
      <c r="C75" s="47"/>
      <c r="D75" s="42">
        <f t="shared" si="7"/>
        <v>0</v>
      </c>
      <c r="E75" s="72"/>
      <c r="F75" s="72"/>
      <c r="G75" s="92"/>
      <c r="H75" s="42">
        <f t="shared" si="6"/>
        <v>0</v>
      </c>
      <c r="I75" s="72"/>
      <c r="J75" s="72"/>
      <c r="K75" s="92"/>
      <c r="L75" s="28"/>
      <c r="M75" s="601"/>
    </row>
    <row r="76" spans="1:15" outlineLevel="1" x14ac:dyDescent="0.25">
      <c r="A76" s="10"/>
      <c r="B76" s="43" t="s">
        <v>557</v>
      </c>
      <c r="C76" s="47"/>
      <c r="D76" s="42">
        <f t="shared" si="7"/>
        <v>0</v>
      </c>
      <c r="E76" s="72"/>
      <c r="F76" s="72"/>
      <c r="G76" s="92"/>
      <c r="H76" s="42">
        <f t="shared" si="6"/>
        <v>0</v>
      </c>
      <c r="I76" s="72"/>
      <c r="J76" s="72"/>
      <c r="K76" s="92"/>
      <c r="L76" s="28"/>
      <c r="M76" s="601"/>
    </row>
    <row r="77" spans="1:15" s="91" customFormat="1" outlineLevel="1" x14ac:dyDescent="0.25">
      <c r="A77" s="260"/>
      <c r="B77" s="261" t="s">
        <v>67</v>
      </c>
      <c r="C77" s="252">
        <v>341569.5</v>
      </c>
      <c r="D77" s="249">
        <f t="shared" si="7"/>
        <v>341569.5</v>
      </c>
      <c r="E77" s="250">
        <f>C77*0.6636</f>
        <v>226665.5202</v>
      </c>
      <c r="F77" s="250">
        <f>C77*5%</f>
        <v>17078.475000000002</v>
      </c>
      <c r="G77" s="251">
        <f>C77-E77-F77</f>
        <v>97825.504799999995</v>
      </c>
      <c r="H77" s="249">
        <f t="shared" si="6"/>
        <v>341569.5</v>
      </c>
      <c r="I77" s="250">
        <v>226665.52</v>
      </c>
      <c r="J77" s="250">
        <v>17078.48</v>
      </c>
      <c r="K77" s="251">
        <v>97825.5</v>
      </c>
      <c r="L77" s="271" t="s">
        <v>621</v>
      </c>
      <c r="M77" s="615"/>
    </row>
    <row r="78" spans="1:15" s="395" customFormat="1" ht="36.75" customHeight="1" x14ac:dyDescent="0.2">
      <c r="A78" s="391"/>
      <c r="B78" s="392" t="s">
        <v>255</v>
      </c>
      <c r="C78" s="290">
        <f>SUM(C79:C83)</f>
        <v>9815109.2799999993</v>
      </c>
      <c r="D78" s="288">
        <f t="shared" si="7"/>
        <v>9815109.2799999993</v>
      </c>
      <c r="E78" s="289">
        <f>SUM(E79:E83)</f>
        <v>7190672.7490005</v>
      </c>
      <c r="F78" s="289">
        <f>SUM(F79:F83)</f>
        <v>490755.46400000004</v>
      </c>
      <c r="G78" s="247">
        <f>SUM(G79:G83)</f>
        <v>2133681.0669995002</v>
      </c>
      <c r="H78" s="288">
        <f t="shared" si="6"/>
        <v>9815109.2800000012</v>
      </c>
      <c r="I78" s="289">
        <f>SUM(I79:I83)</f>
        <v>7144908.8000000007</v>
      </c>
      <c r="J78" s="289">
        <f>SUM(J79:J83)</f>
        <v>490755.46</v>
      </c>
      <c r="K78" s="247">
        <f>SUM(K79:K83)</f>
        <v>2179445.0200000005</v>
      </c>
      <c r="L78" s="400"/>
      <c r="M78" s="614"/>
      <c r="N78" s="395">
        <v>1000</v>
      </c>
      <c r="O78" s="395">
        <f>K78/N78</f>
        <v>2179.4450200000006</v>
      </c>
    </row>
    <row r="79" spans="1:15" s="91" customFormat="1" outlineLevel="1" x14ac:dyDescent="0.25">
      <c r="A79" s="260"/>
      <c r="B79" s="261" t="s">
        <v>64</v>
      </c>
      <c r="C79" s="252">
        <v>5806486.2400000002</v>
      </c>
      <c r="D79" s="249">
        <f t="shared" si="7"/>
        <v>5806486.2400000002</v>
      </c>
      <c r="E79" s="250">
        <f>C79*0.7356</f>
        <v>4271251.2781440001</v>
      </c>
      <c r="F79" s="250">
        <f>C79*0.05</f>
        <v>290324.31200000003</v>
      </c>
      <c r="G79" s="251">
        <f>C79-E79-F79</f>
        <v>1244910.6498560002</v>
      </c>
      <c r="H79" s="249">
        <f t="shared" si="6"/>
        <v>5806486.2399999993</v>
      </c>
      <c r="I79" s="250">
        <v>4288957.63</v>
      </c>
      <c r="J79" s="250">
        <v>290324.31</v>
      </c>
      <c r="K79" s="251">
        <v>1227204.3</v>
      </c>
      <c r="L79" s="804" t="s">
        <v>676</v>
      </c>
      <c r="M79" s="617"/>
    </row>
    <row r="80" spans="1:15" s="91" customFormat="1" outlineLevel="1" x14ac:dyDescent="0.25">
      <c r="A80" s="260"/>
      <c r="B80" s="261" t="s">
        <v>763</v>
      </c>
      <c r="C80" s="252">
        <v>1518337.35</v>
      </c>
      <c r="D80" s="249">
        <f t="shared" ref="D80" si="8">SUM(E80:G80)</f>
        <v>1518337.35</v>
      </c>
      <c r="E80" s="250">
        <f>C80*0.72795</f>
        <v>1105273.6739325</v>
      </c>
      <c r="F80" s="250">
        <f>C80*0.05</f>
        <v>75916.867500000008</v>
      </c>
      <c r="G80" s="251">
        <f>C80-E80-F80</f>
        <v>337146.80856750015</v>
      </c>
      <c r="H80" s="249">
        <f t="shared" ref="H80" si="9">I80+J80+K80</f>
        <v>1518337.35</v>
      </c>
      <c r="I80" s="250">
        <v>1041803.36</v>
      </c>
      <c r="J80" s="250">
        <v>75916.86</v>
      </c>
      <c r="K80" s="251">
        <v>400617.13</v>
      </c>
      <c r="L80" s="805"/>
      <c r="M80" s="617"/>
    </row>
    <row r="81" spans="1:15" s="91" customFormat="1" outlineLevel="1" x14ac:dyDescent="0.25">
      <c r="A81" s="260"/>
      <c r="B81" s="261" t="s">
        <v>65</v>
      </c>
      <c r="C81" s="252">
        <v>1657104.66</v>
      </c>
      <c r="D81" s="249">
        <f t="shared" si="7"/>
        <v>1657104.66</v>
      </c>
      <c r="E81" s="250">
        <f>C81*0.7356</f>
        <v>1218966.187896</v>
      </c>
      <c r="F81" s="250">
        <f>C81*0.05</f>
        <v>82855.233000000007</v>
      </c>
      <c r="G81" s="251">
        <f>C81-E81-F81</f>
        <v>355283.23910399992</v>
      </c>
      <c r="H81" s="249">
        <f t="shared" si="6"/>
        <v>1657104.66</v>
      </c>
      <c r="I81" s="250">
        <v>1218966.2</v>
      </c>
      <c r="J81" s="250">
        <v>82855.240000000005</v>
      </c>
      <c r="K81" s="251">
        <v>355283.22</v>
      </c>
      <c r="L81" s="805"/>
      <c r="M81" s="617"/>
    </row>
    <row r="82" spans="1:15" s="91" customFormat="1" outlineLevel="1" x14ac:dyDescent="0.25">
      <c r="A82" s="260"/>
      <c r="B82" s="261" t="s">
        <v>66</v>
      </c>
      <c r="C82" s="252">
        <v>587259.41</v>
      </c>
      <c r="D82" s="249">
        <f t="shared" si="7"/>
        <v>587259.41</v>
      </c>
      <c r="E82" s="250">
        <f>C82*0.7356</f>
        <v>431988.02199600002</v>
      </c>
      <c r="F82" s="250">
        <f>C82*0.05</f>
        <v>29362.970500000003</v>
      </c>
      <c r="G82" s="251">
        <f>C82-E82-F82</f>
        <v>125908.41750400001</v>
      </c>
      <c r="H82" s="249">
        <f t="shared" si="6"/>
        <v>587259.41</v>
      </c>
      <c r="I82" s="250">
        <v>431988.02</v>
      </c>
      <c r="J82" s="250">
        <v>29362.97</v>
      </c>
      <c r="K82" s="251">
        <v>125908.42</v>
      </c>
      <c r="L82" s="262" t="s">
        <v>676</v>
      </c>
      <c r="M82" s="618"/>
    </row>
    <row r="83" spans="1:15" s="91" customFormat="1" outlineLevel="1" x14ac:dyDescent="0.25">
      <c r="A83" s="260"/>
      <c r="B83" s="261" t="s">
        <v>67</v>
      </c>
      <c r="C83" s="252">
        <v>245921.62</v>
      </c>
      <c r="D83" s="249">
        <f t="shared" si="7"/>
        <v>245921.62</v>
      </c>
      <c r="E83" s="250">
        <f>C83*0.6636</f>
        <v>163193.58703199998</v>
      </c>
      <c r="F83" s="250">
        <f>C83*5%</f>
        <v>12296.081</v>
      </c>
      <c r="G83" s="251">
        <f>C83-E83-F83</f>
        <v>70431.951968000008</v>
      </c>
      <c r="H83" s="249">
        <f t="shared" si="6"/>
        <v>245921.62</v>
      </c>
      <c r="I83" s="250">
        <v>163193.59</v>
      </c>
      <c r="J83" s="250">
        <v>12296.08</v>
      </c>
      <c r="K83" s="251">
        <v>70431.95</v>
      </c>
      <c r="L83" s="271" t="s">
        <v>621</v>
      </c>
      <c r="M83" s="615"/>
    </row>
    <row r="84" spans="1:15" s="395" customFormat="1" ht="27" customHeight="1" x14ac:dyDescent="0.2">
      <c r="A84" s="391">
        <v>15</v>
      </c>
      <c r="B84" s="392" t="s">
        <v>256</v>
      </c>
      <c r="C84" s="290">
        <f>SUM(C85:C89)</f>
        <v>7335406.8999999994</v>
      </c>
      <c r="D84" s="288">
        <f t="shared" si="7"/>
        <v>7335406.8999999994</v>
      </c>
      <c r="E84" s="289">
        <f>SUM(E85:E89)</f>
        <v>5368658.4302519998</v>
      </c>
      <c r="F84" s="289">
        <f>SUM(F85:F89)</f>
        <v>366770.34500000003</v>
      </c>
      <c r="G84" s="247">
        <f>SUM(G85:G89)</f>
        <v>1599978.1247480002</v>
      </c>
      <c r="H84" s="288">
        <f t="shared" si="6"/>
        <v>7335406.8999999985</v>
      </c>
      <c r="I84" s="289">
        <f>SUM(I85:I89)</f>
        <v>5339809.4499999993</v>
      </c>
      <c r="J84" s="289">
        <f>SUM(J85:J89)</f>
        <v>366770.35</v>
      </c>
      <c r="K84" s="247">
        <f>SUM(K85:K89)</f>
        <v>1628827.0999999999</v>
      </c>
      <c r="L84" s="400"/>
      <c r="M84" s="614"/>
      <c r="N84" s="395">
        <v>1000</v>
      </c>
      <c r="O84" s="395">
        <f>K84/N84</f>
        <v>1628.8271</v>
      </c>
    </row>
    <row r="85" spans="1:15" s="91" customFormat="1" outlineLevel="1" x14ac:dyDescent="0.25">
      <c r="A85" s="260"/>
      <c r="B85" s="261" t="s">
        <v>64</v>
      </c>
      <c r="C85" s="252">
        <v>3857239.1399999997</v>
      </c>
      <c r="D85" s="249">
        <f t="shared" si="7"/>
        <v>3857239.1399999997</v>
      </c>
      <c r="E85" s="250">
        <f>C85*0.7356</f>
        <v>2837385.1113839997</v>
      </c>
      <c r="F85" s="250">
        <f>C85*0.05</f>
        <v>192861.95699999999</v>
      </c>
      <c r="G85" s="251">
        <f>C85-E85-F85</f>
        <v>826992.07161600003</v>
      </c>
      <c r="H85" s="249">
        <f t="shared" si="6"/>
        <v>3857239.14</v>
      </c>
      <c r="I85" s="250">
        <v>2855091.47</v>
      </c>
      <c r="J85" s="250">
        <v>192861.96</v>
      </c>
      <c r="K85" s="251">
        <v>809285.71</v>
      </c>
      <c r="L85" s="804" t="s">
        <v>676</v>
      </c>
      <c r="M85" s="617"/>
    </row>
    <row r="86" spans="1:15" s="91" customFormat="1" outlineLevel="1" x14ac:dyDescent="0.25">
      <c r="A86" s="260"/>
      <c r="B86" s="261" t="s">
        <v>763</v>
      </c>
      <c r="C86" s="252">
        <v>1249742.32</v>
      </c>
      <c r="D86" s="249">
        <f t="shared" ref="D86" si="10">SUM(E86:G86)</f>
        <v>1249742.32</v>
      </c>
      <c r="E86" s="250">
        <f>C86*0.72795</f>
        <v>909749.921844</v>
      </c>
      <c r="F86" s="250">
        <f>C86*0.05</f>
        <v>62487.116000000009</v>
      </c>
      <c r="G86" s="251">
        <f>C86-E86-F86</f>
        <v>277505.28215600003</v>
      </c>
      <c r="H86" s="249">
        <f t="shared" ref="H86" si="11">I86+J86+K86</f>
        <v>1249742.3199999998</v>
      </c>
      <c r="I86" s="250">
        <v>863194.58</v>
      </c>
      <c r="J86" s="250">
        <v>62487.13</v>
      </c>
      <c r="K86" s="251">
        <v>324060.61</v>
      </c>
      <c r="L86" s="805"/>
      <c r="M86" s="617"/>
    </row>
    <row r="87" spans="1:15" s="91" customFormat="1" outlineLevel="1" x14ac:dyDescent="0.25">
      <c r="A87" s="260"/>
      <c r="B87" s="261" t="s">
        <v>65</v>
      </c>
      <c r="C87" s="252">
        <v>1423022.47</v>
      </c>
      <c r="D87" s="249">
        <f t="shared" si="7"/>
        <v>1423022.4700000002</v>
      </c>
      <c r="E87" s="250">
        <f t="shared" ref="E87:E88" si="12">C87*0.7356</f>
        <v>1046775.328932</v>
      </c>
      <c r="F87" s="250">
        <f t="shared" ref="F87:F88" si="13">C87*0.05</f>
        <v>71151.123500000002</v>
      </c>
      <c r="G87" s="251">
        <f t="shared" ref="G87:G88" si="14">C87-E87-F87</f>
        <v>305096.01756800001</v>
      </c>
      <c r="H87" s="249">
        <f t="shared" si="6"/>
        <v>1423022.47</v>
      </c>
      <c r="I87" s="250">
        <v>1046775.33</v>
      </c>
      <c r="J87" s="250">
        <v>71151.12</v>
      </c>
      <c r="K87" s="251">
        <v>305096.02</v>
      </c>
      <c r="L87" s="806"/>
      <c r="M87" s="617"/>
    </row>
    <row r="88" spans="1:15" s="91" customFormat="1" outlineLevel="1" x14ac:dyDescent="0.25">
      <c r="A88" s="260"/>
      <c r="B88" s="261" t="s">
        <v>66</v>
      </c>
      <c r="C88" s="252">
        <v>559481.35</v>
      </c>
      <c r="D88" s="249">
        <f t="shared" si="7"/>
        <v>559481.35</v>
      </c>
      <c r="E88" s="250">
        <f t="shared" si="12"/>
        <v>411554.48106000002</v>
      </c>
      <c r="F88" s="250">
        <f t="shared" si="13"/>
        <v>27974.067500000001</v>
      </c>
      <c r="G88" s="251">
        <f t="shared" si="14"/>
        <v>119952.80143999995</v>
      </c>
      <c r="H88" s="249">
        <f t="shared" si="6"/>
        <v>559481.35</v>
      </c>
      <c r="I88" s="250">
        <v>411554.48</v>
      </c>
      <c r="J88" s="250">
        <v>27974.06</v>
      </c>
      <c r="K88" s="251">
        <v>119952.81</v>
      </c>
      <c r="L88" s="262" t="s">
        <v>676</v>
      </c>
      <c r="M88" s="618"/>
    </row>
    <row r="89" spans="1:15" s="91" customFormat="1" outlineLevel="1" x14ac:dyDescent="0.25">
      <c r="A89" s="260"/>
      <c r="B89" s="261" t="s">
        <v>67</v>
      </c>
      <c r="C89" s="252">
        <v>245921.62</v>
      </c>
      <c r="D89" s="249">
        <f t="shared" si="7"/>
        <v>245921.62</v>
      </c>
      <c r="E89" s="250">
        <f>C89*0.6636</f>
        <v>163193.58703199998</v>
      </c>
      <c r="F89" s="250">
        <f>C89*5%</f>
        <v>12296.081</v>
      </c>
      <c r="G89" s="251">
        <f>C89-E89-F89</f>
        <v>70431.951968000008</v>
      </c>
      <c r="H89" s="249">
        <f t="shared" si="6"/>
        <v>245921.62</v>
      </c>
      <c r="I89" s="250">
        <v>163193.59</v>
      </c>
      <c r="J89" s="250">
        <v>12296.08</v>
      </c>
      <c r="K89" s="251">
        <v>70431.95</v>
      </c>
      <c r="L89" s="271" t="s">
        <v>621</v>
      </c>
      <c r="M89" s="615"/>
    </row>
    <row r="90" spans="1:15" s="9" customFormat="1" ht="33" customHeight="1" x14ac:dyDescent="0.2">
      <c r="A90" s="140">
        <v>16</v>
      </c>
      <c r="B90" s="60" t="s">
        <v>257</v>
      </c>
      <c r="C90" s="63">
        <f>SUM(C91:C96)</f>
        <v>4786370.5399999991</v>
      </c>
      <c r="D90" s="40">
        <f t="shared" si="7"/>
        <v>4786370.5399999991</v>
      </c>
      <c r="E90" s="75">
        <f>SUM(E91:E96)</f>
        <v>3777020.7225368</v>
      </c>
      <c r="F90" s="75">
        <f>SUM(F91:F96)</f>
        <v>239318.52549999999</v>
      </c>
      <c r="G90" s="80">
        <f>SUM(G91:G96)</f>
        <v>770031.2919631995</v>
      </c>
      <c r="H90" s="40">
        <f t="shared" si="6"/>
        <v>254172.17</v>
      </c>
      <c r="I90" s="75">
        <f>SUM(I91:I96)</f>
        <v>168668.65</v>
      </c>
      <c r="J90" s="75">
        <f>SUM(J91:J96)</f>
        <v>12708.61</v>
      </c>
      <c r="K90" s="80">
        <f>SUM(K91:K96)</f>
        <v>72794.91</v>
      </c>
      <c r="L90" s="35"/>
      <c r="M90" s="616"/>
      <c r="N90" s="9">
        <v>1000</v>
      </c>
      <c r="O90" s="9">
        <f>K90/N90</f>
        <v>72.794910000000002</v>
      </c>
    </row>
    <row r="91" spans="1:15" s="91" customFormat="1" outlineLevel="1" x14ac:dyDescent="0.25">
      <c r="A91" s="260"/>
      <c r="B91" s="261" t="s">
        <v>68</v>
      </c>
      <c r="C91" s="252">
        <v>607621.78</v>
      </c>
      <c r="D91" s="249">
        <f t="shared" si="7"/>
        <v>607621.78</v>
      </c>
      <c r="E91" s="250">
        <v>483763.75634214899</v>
      </c>
      <c r="F91" s="250">
        <v>30381.08879889833</v>
      </c>
      <c r="G91" s="251">
        <v>93476.934858952693</v>
      </c>
      <c r="H91" s="249">
        <f t="shared" si="6"/>
        <v>0</v>
      </c>
      <c r="I91" s="250"/>
      <c r="J91" s="250"/>
      <c r="K91" s="251"/>
      <c r="L91" s="271" t="s">
        <v>848</v>
      </c>
      <c r="M91" s="619">
        <v>42640</v>
      </c>
    </row>
    <row r="92" spans="1:15" s="91" customFormat="1" outlineLevel="1" x14ac:dyDescent="0.25">
      <c r="A92" s="260"/>
      <c r="B92" s="261" t="s">
        <v>64</v>
      </c>
      <c r="C92" s="252">
        <v>2903723.65</v>
      </c>
      <c r="D92" s="249">
        <f t="shared" si="7"/>
        <v>2903723.6499999994</v>
      </c>
      <c r="E92" s="250">
        <v>2311826.7095421352</v>
      </c>
      <c r="F92" s="250">
        <v>145186.18153896846</v>
      </c>
      <c r="G92" s="251">
        <v>446710.75891889579</v>
      </c>
      <c r="H92" s="249">
        <f t="shared" si="6"/>
        <v>0</v>
      </c>
      <c r="I92" s="250"/>
      <c r="J92" s="250"/>
      <c r="K92" s="251"/>
      <c r="L92" s="271" t="s">
        <v>848</v>
      </c>
      <c r="M92" s="619">
        <v>42640</v>
      </c>
    </row>
    <row r="93" spans="1:15" s="91" customFormat="1" outlineLevel="1" x14ac:dyDescent="0.25">
      <c r="A93" s="260"/>
      <c r="B93" s="261" t="s">
        <v>65</v>
      </c>
      <c r="C93" s="252">
        <v>706285.42999999993</v>
      </c>
      <c r="D93" s="249">
        <f t="shared" si="7"/>
        <v>706285.43</v>
      </c>
      <c r="E93" s="250">
        <v>562315.74297177093</v>
      </c>
      <c r="F93" s="250">
        <v>35314.271266244097</v>
      </c>
      <c r="G93" s="251">
        <v>108655.41576198503</v>
      </c>
      <c r="H93" s="249">
        <f t="shared" si="6"/>
        <v>0</v>
      </c>
      <c r="I93" s="250"/>
      <c r="J93" s="250"/>
      <c r="K93" s="251"/>
      <c r="L93" s="271" t="s">
        <v>848</v>
      </c>
      <c r="M93" s="619">
        <v>42640</v>
      </c>
    </row>
    <row r="94" spans="1:15" s="91" customFormat="1" outlineLevel="1" x14ac:dyDescent="0.25">
      <c r="A94" s="260"/>
      <c r="B94" s="261" t="s">
        <v>66</v>
      </c>
      <c r="C94" s="252">
        <v>314567.51</v>
      </c>
      <c r="D94" s="249">
        <f t="shared" si="7"/>
        <v>314567.51</v>
      </c>
      <c r="E94" s="250">
        <v>250445.86166874485</v>
      </c>
      <c r="F94" s="250">
        <v>15728.375395889097</v>
      </c>
      <c r="G94" s="251">
        <v>48393.272935366062</v>
      </c>
      <c r="H94" s="249">
        <f t="shared" si="6"/>
        <v>0</v>
      </c>
      <c r="I94" s="250"/>
      <c r="J94" s="250"/>
      <c r="K94" s="251"/>
      <c r="L94" s="271" t="s">
        <v>848</v>
      </c>
      <c r="M94" s="619">
        <v>42640</v>
      </c>
    </row>
    <row r="95" spans="1:15" outlineLevel="1" x14ac:dyDescent="0.25">
      <c r="A95" s="10"/>
      <c r="B95" s="43" t="s">
        <v>557</v>
      </c>
      <c r="C95" s="47"/>
      <c r="D95" s="42">
        <f t="shared" si="7"/>
        <v>0</v>
      </c>
      <c r="E95" s="72"/>
      <c r="F95" s="72"/>
      <c r="G95" s="92"/>
      <c r="H95" s="42">
        <f t="shared" si="6"/>
        <v>0</v>
      </c>
      <c r="I95" s="72"/>
      <c r="J95" s="72"/>
      <c r="K95" s="92"/>
      <c r="L95" s="28"/>
      <c r="M95" s="601"/>
    </row>
    <row r="96" spans="1:15" s="91" customFormat="1" outlineLevel="1" x14ac:dyDescent="0.25">
      <c r="A96" s="267"/>
      <c r="B96" s="261" t="s">
        <v>67</v>
      </c>
      <c r="C96" s="252">
        <v>254172.17</v>
      </c>
      <c r="D96" s="249">
        <f t="shared" si="7"/>
        <v>254172.17</v>
      </c>
      <c r="E96" s="250">
        <f>C96*0.6636</f>
        <v>168668.65201200001</v>
      </c>
      <c r="F96" s="250">
        <f>C96*5%</f>
        <v>12708.608500000002</v>
      </c>
      <c r="G96" s="251">
        <f>C96-E96-F96</f>
        <v>72794.909488000005</v>
      </c>
      <c r="H96" s="249">
        <f t="shared" si="6"/>
        <v>254172.17</v>
      </c>
      <c r="I96" s="250">
        <v>168668.65</v>
      </c>
      <c r="J96" s="250">
        <v>12708.61</v>
      </c>
      <c r="K96" s="251">
        <v>72794.91</v>
      </c>
      <c r="L96" s="271" t="s">
        <v>621</v>
      </c>
      <c r="M96" s="615"/>
    </row>
    <row r="97" spans="1:13" s="9" customFormat="1" ht="32.25" customHeight="1" thickBot="1" x14ac:dyDescent="0.25">
      <c r="A97" s="126">
        <v>17</v>
      </c>
      <c r="B97" s="183" t="s">
        <v>556</v>
      </c>
      <c r="C97" s="175"/>
      <c r="D97" s="273">
        <f t="shared" si="7"/>
        <v>0</v>
      </c>
      <c r="E97" s="137"/>
      <c r="F97" s="137"/>
      <c r="G97" s="174"/>
      <c r="H97" s="177">
        <f t="shared" si="6"/>
        <v>0</v>
      </c>
      <c r="I97" s="137"/>
      <c r="J97" s="137"/>
      <c r="K97" s="174"/>
      <c r="L97" s="185"/>
      <c r="M97" s="616"/>
    </row>
    <row r="99" spans="1:13" ht="15.75" thickBot="1" x14ac:dyDescent="0.3"/>
    <row r="100" spans="1:13" x14ac:dyDescent="0.25">
      <c r="B100" s="276" t="s">
        <v>68</v>
      </c>
      <c r="C100" s="279">
        <f t="shared" ref="C100:K100" si="15">C17+C24+C33+C42+C49+C62+C71+C91</f>
        <v>5232297.67</v>
      </c>
      <c r="D100" s="279">
        <f t="shared" si="15"/>
        <v>5232297.67</v>
      </c>
      <c r="E100" s="279">
        <f t="shared" si="15"/>
        <v>3911205.7768394626</v>
      </c>
      <c r="F100" s="279">
        <f t="shared" si="15"/>
        <v>261614.88801332947</v>
      </c>
      <c r="G100" s="279">
        <f t="shared" si="15"/>
        <v>1059477.0051472075</v>
      </c>
      <c r="H100" s="279">
        <f t="shared" si="15"/>
        <v>3776987.61</v>
      </c>
      <c r="I100" s="279">
        <f t="shared" si="15"/>
        <v>2670217.08</v>
      </c>
      <c r="J100" s="279">
        <f t="shared" si="15"/>
        <v>188849.38</v>
      </c>
      <c r="K100" s="277">
        <f t="shared" si="15"/>
        <v>917921.14999999991</v>
      </c>
      <c r="L100" s="2">
        <v>1</v>
      </c>
    </row>
    <row r="101" spans="1:13" x14ac:dyDescent="0.25">
      <c r="B101" s="278" t="s">
        <v>64</v>
      </c>
      <c r="C101" s="294">
        <f>C18+C25+C34+C50+C72+C79+C80+C85+C86+C92</f>
        <v>19581820.629999999</v>
      </c>
      <c r="D101" s="294">
        <f t="shared" ref="D101:K101" si="16">D18+D25+D34+D50+D72+D79+D80+D85+D86+D92</f>
        <v>19581820.629999999</v>
      </c>
      <c r="E101" s="294">
        <f t="shared" si="16"/>
        <v>14814444.546744134</v>
      </c>
      <c r="F101" s="294">
        <f t="shared" si="16"/>
        <v>794205.43453896861</v>
      </c>
      <c r="G101" s="294">
        <f t="shared" si="16"/>
        <v>3973170.6487168963</v>
      </c>
      <c r="H101" s="294">
        <f t="shared" si="16"/>
        <v>16678096.979999999</v>
      </c>
      <c r="I101" s="294">
        <f t="shared" si="16"/>
        <v>12428004.890000001</v>
      </c>
      <c r="J101" s="294">
        <f t="shared" si="16"/>
        <v>649019.26</v>
      </c>
      <c r="K101" s="294">
        <f t="shared" si="16"/>
        <v>3601072.8299999996</v>
      </c>
      <c r="L101" s="2">
        <v>2</v>
      </c>
    </row>
    <row r="102" spans="1:13" x14ac:dyDescent="0.25">
      <c r="B102" s="278" t="s">
        <v>65</v>
      </c>
      <c r="C102" s="12">
        <f>C19+C26+C35+C51+C73+C81+C87+C93</f>
        <v>3786412.5599999996</v>
      </c>
      <c r="D102" s="12">
        <f t="shared" ref="D102:K102" si="17">D19+D26+D35+D51+D73+D81+D87+D93</f>
        <v>3786412.56</v>
      </c>
      <c r="E102" s="12">
        <f t="shared" si="17"/>
        <v>2828057.259799771</v>
      </c>
      <c r="F102" s="12">
        <f t="shared" si="17"/>
        <v>189320.62776624408</v>
      </c>
      <c r="G102" s="12">
        <f t="shared" si="17"/>
        <v>769034.67243398493</v>
      </c>
      <c r="H102" s="12">
        <f t="shared" si="17"/>
        <v>3080127.13</v>
      </c>
      <c r="I102" s="12">
        <f t="shared" si="17"/>
        <v>2265741.5299999998</v>
      </c>
      <c r="J102" s="12">
        <f t="shared" si="17"/>
        <v>154006.35999999999</v>
      </c>
      <c r="K102" s="12">
        <f t="shared" si="17"/>
        <v>660379.24</v>
      </c>
      <c r="L102" s="2">
        <v>2</v>
      </c>
    </row>
    <row r="103" spans="1:13" x14ac:dyDescent="0.25">
      <c r="B103" s="278" t="s">
        <v>66</v>
      </c>
      <c r="C103" s="12">
        <f t="shared" ref="C103:K103" si="18">C20+C27+C36+C43+C52+C63+C74+C82+C88+C94</f>
        <v>2255867.2199999997</v>
      </c>
      <c r="D103" s="12">
        <f t="shared" si="18"/>
        <v>2255867.2199999997</v>
      </c>
      <c r="E103" s="12">
        <f t="shared" si="18"/>
        <v>1687751.6241244113</v>
      </c>
      <c r="F103" s="12">
        <f t="shared" si="18"/>
        <v>112793.3605308375</v>
      </c>
      <c r="G103" s="12">
        <f t="shared" si="18"/>
        <v>455322.23534475145</v>
      </c>
      <c r="H103" s="12">
        <f t="shared" si="18"/>
        <v>1727993.71</v>
      </c>
      <c r="I103" s="12">
        <f t="shared" si="18"/>
        <v>1266993.43</v>
      </c>
      <c r="J103" s="12">
        <f t="shared" si="18"/>
        <v>86399.680000000008</v>
      </c>
      <c r="K103" s="16">
        <f t="shared" si="18"/>
        <v>374600.6</v>
      </c>
      <c r="L103" s="2">
        <v>2</v>
      </c>
    </row>
    <row r="104" spans="1:13" x14ac:dyDescent="0.25">
      <c r="B104" s="278" t="s">
        <v>555</v>
      </c>
      <c r="C104" s="12">
        <f t="shared" ref="C104:K104" si="19">C8+C11+C21+C44+C53+C57+C64+C75</f>
        <v>32943169.5</v>
      </c>
      <c r="D104" s="12">
        <f t="shared" si="19"/>
        <v>32943169.5</v>
      </c>
      <c r="E104" s="12">
        <f t="shared" si="19"/>
        <v>24296709.090840042</v>
      </c>
      <c r="F104" s="12">
        <f t="shared" si="19"/>
        <v>1647158.4641643008</v>
      </c>
      <c r="G104" s="12">
        <f t="shared" si="19"/>
        <v>6999301.9449956566</v>
      </c>
      <c r="H104" s="12">
        <f t="shared" si="19"/>
        <v>29063289.540000003</v>
      </c>
      <c r="I104" s="12">
        <f t="shared" si="19"/>
        <v>21234539.77</v>
      </c>
      <c r="J104" s="12">
        <f t="shared" si="19"/>
        <v>1453164.4899999998</v>
      </c>
      <c r="K104" s="16">
        <f t="shared" si="19"/>
        <v>6375585.2799999993</v>
      </c>
      <c r="L104" s="2">
        <v>4</v>
      </c>
    </row>
    <row r="105" spans="1:13" x14ac:dyDescent="0.25">
      <c r="B105" s="278" t="s">
        <v>557</v>
      </c>
      <c r="C105" s="12">
        <f t="shared" ref="C105:K105" si="20">C28+C37+C45+C54+C60+C65+C76+C95</f>
        <v>11962988.68</v>
      </c>
      <c r="D105" s="12">
        <f t="shared" si="20"/>
        <v>11962988.68</v>
      </c>
      <c r="E105" s="12">
        <f t="shared" si="20"/>
        <v>8799974.4730079994</v>
      </c>
      <c r="F105" s="12">
        <f t="shared" si="20"/>
        <v>598149.43400000001</v>
      </c>
      <c r="G105" s="12">
        <f t="shared" si="20"/>
        <v>2564864.7729920004</v>
      </c>
      <c r="H105" s="12">
        <f t="shared" si="20"/>
        <v>11962988.68</v>
      </c>
      <c r="I105" s="12">
        <f t="shared" si="20"/>
        <v>8799974.4800000004</v>
      </c>
      <c r="J105" s="12">
        <f t="shared" si="20"/>
        <v>598149.43000000005</v>
      </c>
      <c r="K105" s="16">
        <f t="shared" si="20"/>
        <v>2564864.77</v>
      </c>
      <c r="L105" s="2">
        <v>1</v>
      </c>
    </row>
    <row r="106" spans="1:13" x14ac:dyDescent="0.25">
      <c r="B106" s="278" t="s">
        <v>564</v>
      </c>
      <c r="C106" s="12">
        <f t="shared" ref="C106:K106" si="21">C14+C29+C38+C68</f>
        <v>0</v>
      </c>
      <c r="D106" s="12">
        <f t="shared" si="21"/>
        <v>0</v>
      </c>
      <c r="E106" s="12">
        <f t="shared" si="21"/>
        <v>0</v>
      </c>
      <c r="F106" s="12">
        <f t="shared" si="21"/>
        <v>0</v>
      </c>
      <c r="G106" s="12">
        <f t="shared" si="21"/>
        <v>0</v>
      </c>
      <c r="H106" s="12">
        <f t="shared" si="21"/>
        <v>0</v>
      </c>
      <c r="I106" s="12">
        <f t="shared" si="21"/>
        <v>0</v>
      </c>
      <c r="J106" s="12">
        <f t="shared" si="21"/>
        <v>0</v>
      </c>
      <c r="K106" s="16">
        <f t="shared" si="21"/>
        <v>0</v>
      </c>
    </row>
    <row r="107" spans="1:13" x14ac:dyDescent="0.25">
      <c r="B107" s="281" t="s">
        <v>67</v>
      </c>
      <c r="C107" s="12">
        <f t="shared" ref="C107:K107" si="22">C9+C12+C15+C22+C30+C39+C47+C55+C58+C66+C69+C77+C83+C89+C96+C97+C40+C31+C46</f>
        <v>3132094.8051999998</v>
      </c>
      <c r="D107" s="12">
        <f t="shared" si="22"/>
        <v>3132094.8051999998</v>
      </c>
      <c r="E107" s="12">
        <f t="shared" si="22"/>
        <v>2137851.5287680803</v>
      </c>
      <c r="F107" s="12">
        <f t="shared" si="22"/>
        <v>156604.74026000002</v>
      </c>
      <c r="G107" s="12">
        <f t="shared" si="22"/>
        <v>837638.53617192002</v>
      </c>
      <c r="H107" s="12">
        <f t="shared" si="22"/>
        <v>2539943.39</v>
      </c>
      <c r="I107" s="12">
        <f t="shared" si="22"/>
        <v>1706794.9</v>
      </c>
      <c r="J107" s="12">
        <f t="shared" si="22"/>
        <v>126997.15999999999</v>
      </c>
      <c r="K107" s="16">
        <f t="shared" si="22"/>
        <v>706151.33</v>
      </c>
      <c r="L107" s="598">
        <v>14</v>
      </c>
      <c r="M107" s="601"/>
    </row>
    <row r="108" spans="1:13" ht="15.75" thickBot="1" x14ac:dyDescent="0.3">
      <c r="B108" s="282" t="s">
        <v>625</v>
      </c>
      <c r="C108" s="18">
        <f t="shared" ref="C108:K108" si="23">SUM(C100:C107)</f>
        <v>78894651.065199986</v>
      </c>
      <c r="D108" s="18">
        <f t="shared" si="23"/>
        <v>78894651.065199986</v>
      </c>
      <c r="E108" s="18">
        <f t="shared" si="23"/>
        <v>58475994.300123893</v>
      </c>
      <c r="F108" s="18">
        <f t="shared" si="23"/>
        <v>3759846.9492736803</v>
      </c>
      <c r="G108" s="18">
        <f t="shared" si="23"/>
        <v>16658809.815802418</v>
      </c>
      <c r="H108" s="18">
        <f t="shared" si="23"/>
        <v>68829427.039999992</v>
      </c>
      <c r="I108" s="18">
        <f t="shared" si="23"/>
        <v>50372266.080000006</v>
      </c>
      <c r="J108" s="18">
        <f t="shared" si="23"/>
        <v>3256585.7600000002</v>
      </c>
      <c r="K108" s="19">
        <f t="shared" si="23"/>
        <v>15200575.199999997</v>
      </c>
    </row>
    <row r="109" spans="1:13" x14ac:dyDescent="0.25">
      <c r="B109" s="71"/>
      <c r="C109" s="96">
        <f t="shared" ref="C109:K109" si="24">C6</f>
        <v>78894651.065200001</v>
      </c>
      <c r="D109" s="96">
        <f t="shared" si="24"/>
        <v>78894651.065199986</v>
      </c>
      <c r="E109" s="96">
        <f t="shared" si="24"/>
        <v>58475994.300123893</v>
      </c>
      <c r="F109" s="96">
        <f t="shared" si="24"/>
        <v>3759846.9492736803</v>
      </c>
      <c r="G109" s="96">
        <f t="shared" si="24"/>
        <v>16658809.815802416</v>
      </c>
      <c r="H109" s="96">
        <f t="shared" si="24"/>
        <v>68829427.040000007</v>
      </c>
      <c r="I109" s="96">
        <f t="shared" si="24"/>
        <v>50372266.080000006</v>
      </c>
      <c r="J109" s="96">
        <f t="shared" si="24"/>
        <v>3256585.76</v>
      </c>
      <c r="K109" s="96">
        <f t="shared" si="24"/>
        <v>15200575.200000001</v>
      </c>
    </row>
    <row r="110" spans="1:13" x14ac:dyDescent="0.25">
      <c r="B110" s="96" t="s">
        <v>627</v>
      </c>
      <c r="C110" s="96">
        <f t="shared" ref="C110:K110" si="25">C108-C109</f>
        <v>0</v>
      </c>
      <c r="D110" s="96">
        <f t="shared" si="25"/>
        <v>0</v>
      </c>
      <c r="E110" s="96">
        <f t="shared" si="25"/>
        <v>0</v>
      </c>
      <c r="F110" s="96">
        <f t="shared" si="25"/>
        <v>0</v>
      </c>
      <c r="G110" s="96">
        <f t="shared" si="25"/>
        <v>0</v>
      </c>
      <c r="H110" s="96">
        <f t="shared" si="25"/>
        <v>0</v>
      </c>
      <c r="I110" s="96">
        <f t="shared" si="25"/>
        <v>0</v>
      </c>
      <c r="J110" s="96">
        <f t="shared" si="25"/>
        <v>0</v>
      </c>
      <c r="K110" s="96">
        <f t="shared" si="25"/>
        <v>0</v>
      </c>
    </row>
  </sheetData>
  <autoFilter ref="A6:O97"/>
  <mergeCells count="9">
    <mergeCell ref="L79:L81"/>
    <mergeCell ref="L85:L87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2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5"/>
  </sheetPr>
  <dimension ref="A1:M70"/>
  <sheetViews>
    <sheetView view="pageBreakPreview" zoomScale="70" zoomScaleNormal="100" zoomScaleSheetLayoutView="70" workbookViewId="0">
      <selection sqref="A1:L3"/>
    </sheetView>
  </sheetViews>
  <sheetFormatPr defaultColWidth="9.140625" defaultRowHeight="15" outlineLevelRow="1" x14ac:dyDescent="0.25"/>
  <cols>
    <col min="1" max="1" width="5.28515625" style="169" customWidth="1"/>
    <col min="2" max="2" width="51" style="71" customWidth="1"/>
    <col min="3" max="3" width="15" style="71" customWidth="1"/>
    <col min="4" max="4" width="14.7109375" style="71" bestFit="1" customWidth="1"/>
    <col min="5" max="6" width="13" style="71" customWidth="1"/>
    <col min="7" max="7" width="15.85546875" style="71" customWidth="1"/>
    <col min="8" max="8" width="14.7109375" style="71" bestFit="1" customWidth="1"/>
    <col min="9" max="9" width="13.42578125" style="71" customWidth="1"/>
    <col min="10" max="10" width="13.140625" style="71" customWidth="1"/>
    <col min="11" max="11" width="15.5703125" style="71" customWidth="1"/>
    <col min="12" max="12" width="24" style="71" customWidth="1"/>
    <col min="13" max="13" width="11.140625" style="678" customWidth="1"/>
    <col min="14" max="16384" width="9.140625" style="71"/>
  </cols>
  <sheetData>
    <row r="1" spans="1:13" x14ac:dyDescent="0.25">
      <c r="A1" s="784" t="s">
        <v>886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</row>
    <row r="2" spans="1:13" x14ac:dyDescent="0.25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</row>
    <row r="3" spans="1:13" ht="15.75" thickBot="1" x14ac:dyDescent="0.3">
      <c r="A3" s="785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1:13" s="61" customFormat="1" ht="32.25" customHeight="1" x14ac:dyDescent="0.25">
      <c r="A4" s="786" t="s">
        <v>0</v>
      </c>
      <c r="B4" s="788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  <c r="M4" s="678"/>
    </row>
    <row r="5" spans="1:13" s="61" customFormat="1" ht="52.5" customHeight="1" x14ac:dyDescent="0.25">
      <c r="A5" s="787"/>
      <c r="B5" s="789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  <c r="M5" s="678"/>
    </row>
    <row r="6" spans="1:13" s="61" customFormat="1" ht="36.75" customHeight="1" x14ac:dyDescent="0.25">
      <c r="A6" s="782" t="s">
        <v>20</v>
      </c>
      <c r="B6" s="783"/>
      <c r="C6" s="93">
        <f>C7+C11+C15+C19+C23+C26+C29+C32+C35+C39+C43+C46+C49+C52+C55+C58</f>
        <v>3089780.9400000009</v>
      </c>
      <c r="D6" s="13">
        <f>E6+F6+G6</f>
        <v>3089780.94</v>
      </c>
      <c r="E6" s="22">
        <f>E7+E11+E15+E19+E23+E26+E29+E32+E35+E39+E43+E46+E49+E52+E55+E58</f>
        <v>2477379.6880343999</v>
      </c>
      <c r="F6" s="22">
        <f>F7+F11+F15+F19+F23+F26+F29+F32+F35+F39+F43+F46+F49+F52+F55+F58</f>
        <v>154489.046</v>
      </c>
      <c r="G6" s="33">
        <f>G7+G11+G15+G19+G23+G26+G29+G32+G35+G39+G43+G46+G49+G52+G55+G58</f>
        <v>457912.20596559998</v>
      </c>
      <c r="H6" s="13">
        <f>I6+J6+K6</f>
        <v>3089780.9400000004</v>
      </c>
      <c r="I6" s="24">
        <f>I7+I11+I15+I19+I23+I26+I29+I32+I35+I39+I43+I46+I49+I52+I55+I58</f>
        <v>2477379.6800000006</v>
      </c>
      <c r="J6" s="24">
        <f>J7+J11+J15+J19+J23+J26+J29+J32+J35+J39+J43+J46+J49+J52+J55+J58</f>
        <v>154489.04</v>
      </c>
      <c r="K6" s="34">
        <f>K7+K11+K15+K19+K23+K26+K29+K32+K35+K39+K43+K46+K49+K52+K55+K58</f>
        <v>457912.21999999991</v>
      </c>
      <c r="L6" s="179"/>
      <c r="M6" s="678"/>
    </row>
    <row r="7" spans="1:13" s="108" customFormat="1" ht="30.75" customHeight="1" x14ac:dyDescent="0.25">
      <c r="A7" s="687">
        <v>1</v>
      </c>
      <c r="B7" s="229" t="s">
        <v>261</v>
      </c>
      <c r="C7" s="84">
        <f>SUM(C8:C10)</f>
        <v>87336.91</v>
      </c>
      <c r="D7" s="228">
        <f>E7+F7+G7</f>
        <v>87336.91</v>
      </c>
      <c r="E7" s="201">
        <f>SUM(E8:E10)</f>
        <v>74203.1854742</v>
      </c>
      <c r="F7" s="201">
        <f>SUM(F8:F10)</f>
        <v>4366.8455000000004</v>
      </c>
      <c r="G7" s="229">
        <f>SUM(G8:G10)</f>
        <v>8766.8790258000045</v>
      </c>
      <c r="H7" s="228">
        <f>I7+J7+K7</f>
        <v>87336.91</v>
      </c>
      <c r="I7" s="201">
        <f>SUM(I8:I10)</f>
        <v>74203.179999999993</v>
      </c>
      <c r="J7" s="201">
        <f>SUM(J8:J10)</f>
        <v>4366.8500000000004</v>
      </c>
      <c r="K7" s="229">
        <f>SUM(K8:K10)</f>
        <v>8766.8799999999992</v>
      </c>
      <c r="L7" s="84"/>
      <c r="M7" s="688"/>
    </row>
    <row r="8" spans="1:13" s="166" customFormat="1" outlineLevel="1" x14ac:dyDescent="0.25">
      <c r="A8" s="689"/>
      <c r="B8" s="283" t="s">
        <v>64</v>
      </c>
      <c r="C8" s="87"/>
      <c r="D8" s="264">
        <f t="shared" ref="D8:D9" si="0">E8+F8+G8</f>
        <v>0</v>
      </c>
      <c r="E8" s="202"/>
      <c r="F8" s="202"/>
      <c r="G8" s="265"/>
      <c r="H8" s="264"/>
      <c r="I8" s="202"/>
      <c r="J8" s="202"/>
      <c r="K8" s="265"/>
      <c r="L8" s="87" t="s">
        <v>850</v>
      </c>
      <c r="M8" s="690">
        <v>42612</v>
      </c>
    </row>
    <row r="9" spans="1:13" s="166" customFormat="1" ht="15" customHeight="1" outlineLevel="1" x14ac:dyDescent="0.25">
      <c r="A9" s="689"/>
      <c r="B9" s="283" t="s">
        <v>65</v>
      </c>
      <c r="C9" s="87"/>
      <c r="D9" s="264">
        <f t="shared" si="0"/>
        <v>0</v>
      </c>
      <c r="E9" s="202"/>
      <c r="F9" s="202"/>
      <c r="G9" s="265"/>
      <c r="H9" s="264"/>
      <c r="I9" s="202"/>
      <c r="J9" s="202"/>
      <c r="K9" s="265"/>
      <c r="L9" s="87" t="s">
        <v>850</v>
      </c>
      <c r="M9" s="690">
        <v>42612</v>
      </c>
    </row>
    <row r="10" spans="1:13" s="254" customFormat="1" ht="15" customHeight="1" outlineLevel="1" x14ac:dyDescent="0.25">
      <c r="A10" s="397"/>
      <c r="B10" s="248" t="s">
        <v>67</v>
      </c>
      <c r="C10" s="252">
        <v>87336.91</v>
      </c>
      <c r="D10" s="249">
        <f>E10+F10+G10</f>
        <v>87336.91</v>
      </c>
      <c r="E10" s="250">
        <f>C10*0.84962</f>
        <v>74203.1854742</v>
      </c>
      <c r="F10" s="250">
        <f>C10*0.05</f>
        <v>4366.8455000000004</v>
      </c>
      <c r="G10" s="251">
        <f>C10-E10-F10</f>
        <v>8766.8790258000045</v>
      </c>
      <c r="H10" s="249">
        <f>I10+J10+K10</f>
        <v>87336.91</v>
      </c>
      <c r="I10" s="250">
        <v>74203.179999999993</v>
      </c>
      <c r="J10" s="250">
        <v>4366.8500000000004</v>
      </c>
      <c r="K10" s="251">
        <v>8766.8799999999992</v>
      </c>
      <c r="L10" s="252" t="s">
        <v>746</v>
      </c>
      <c r="M10" s="680"/>
    </row>
    <row r="11" spans="1:13" s="108" customFormat="1" ht="33" customHeight="1" x14ac:dyDescent="0.25">
      <c r="A11" s="687">
        <v>2</v>
      </c>
      <c r="B11" s="229" t="s">
        <v>262</v>
      </c>
      <c r="C11" s="84">
        <f>SUM(C12:C14)</f>
        <v>83011.13</v>
      </c>
      <c r="D11" s="228">
        <f>E11+F11+G11</f>
        <v>83011.13</v>
      </c>
      <c r="E11" s="201">
        <f>SUM(E12:E14)</f>
        <v>70527.916270600006</v>
      </c>
      <c r="F11" s="201">
        <f>SUM(F12:F14)</f>
        <v>4150.5565000000006</v>
      </c>
      <c r="G11" s="229">
        <f>SUM(G12:G14)</f>
        <v>8332.657229399998</v>
      </c>
      <c r="H11" s="228">
        <f>I11+J11+K11</f>
        <v>83011.13</v>
      </c>
      <c r="I11" s="201">
        <f>SUM(I12:I14)</f>
        <v>70527.91</v>
      </c>
      <c r="J11" s="201">
        <f>SUM(J12:J14)</f>
        <v>4150.5600000000004</v>
      </c>
      <c r="K11" s="229">
        <f>SUM(K12:K14)</f>
        <v>8332.66</v>
      </c>
      <c r="L11" s="84"/>
      <c r="M11" s="688"/>
    </row>
    <row r="12" spans="1:13" s="166" customFormat="1" outlineLevel="1" x14ac:dyDescent="0.25">
      <c r="A12" s="689"/>
      <c r="B12" s="283" t="s">
        <v>64</v>
      </c>
      <c r="C12" s="87"/>
      <c r="D12" s="264">
        <f t="shared" ref="D12:D13" si="1">E12+F12+G12</f>
        <v>0</v>
      </c>
      <c r="E12" s="202"/>
      <c r="F12" s="202"/>
      <c r="G12" s="265"/>
      <c r="H12" s="264"/>
      <c r="I12" s="202"/>
      <c r="J12" s="202"/>
      <c r="K12" s="265"/>
      <c r="L12" s="87" t="s">
        <v>850</v>
      </c>
      <c r="M12" s="690">
        <v>42612</v>
      </c>
    </row>
    <row r="13" spans="1:13" s="166" customFormat="1" ht="15" customHeight="1" outlineLevel="1" x14ac:dyDescent="0.25">
      <c r="A13" s="689"/>
      <c r="B13" s="283" t="s">
        <v>65</v>
      </c>
      <c r="C13" s="87"/>
      <c r="D13" s="264">
        <f t="shared" si="1"/>
        <v>0</v>
      </c>
      <c r="E13" s="202"/>
      <c r="F13" s="202"/>
      <c r="G13" s="265"/>
      <c r="H13" s="264"/>
      <c r="I13" s="202"/>
      <c r="J13" s="202"/>
      <c r="K13" s="265"/>
      <c r="L13" s="87" t="s">
        <v>850</v>
      </c>
      <c r="M13" s="690">
        <v>42612</v>
      </c>
    </row>
    <row r="14" spans="1:13" s="254" customFormat="1" ht="15" customHeight="1" outlineLevel="1" x14ac:dyDescent="0.25">
      <c r="A14" s="397"/>
      <c r="B14" s="248" t="s">
        <v>67</v>
      </c>
      <c r="C14" s="252">
        <v>83011.13</v>
      </c>
      <c r="D14" s="249">
        <f>E14+F14+G14</f>
        <v>83011.13</v>
      </c>
      <c r="E14" s="250">
        <f>C14*0.84962</f>
        <v>70527.916270600006</v>
      </c>
      <c r="F14" s="250">
        <f>C14*0.05</f>
        <v>4150.5565000000006</v>
      </c>
      <c r="G14" s="251">
        <f>C14-E14-F14</f>
        <v>8332.657229399998</v>
      </c>
      <c r="H14" s="249">
        <f>I14+J14+K14</f>
        <v>83011.13</v>
      </c>
      <c r="I14" s="250">
        <v>70527.91</v>
      </c>
      <c r="J14" s="250">
        <v>4150.5600000000004</v>
      </c>
      <c r="K14" s="251">
        <v>8332.66</v>
      </c>
      <c r="L14" s="252" t="s">
        <v>746</v>
      </c>
      <c r="M14" s="680"/>
    </row>
    <row r="15" spans="1:13" s="73" customFormat="1" ht="30.75" customHeight="1" x14ac:dyDescent="0.25">
      <c r="A15" s="167">
        <v>3</v>
      </c>
      <c r="B15" s="80" t="s">
        <v>273</v>
      </c>
      <c r="C15" s="63">
        <f>SUM(C16:C18)</f>
        <v>67197.48</v>
      </c>
      <c r="D15" s="40">
        <f>E15+F15+G15</f>
        <v>67197.48</v>
      </c>
      <c r="E15" s="75">
        <f>SUM(E16:E18)</f>
        <v>57092.322957600001</v>
      </c>
      <c r="F15" s="75">
        <f>SUM(F16:F18)</f>
        <v>3359.8739999999998</v>
      </c>
      <c r="G15" s="80">
        <f>SUM(G16:G18)</f>
        <v>6745.2830423999949</v>
      </c>
      <c r="H15" s="274">
        <f>I15+J15+K15</f>
        <v>67197.48000000001</v>
      </c>
      <c r="I15" s="75">
        <f>SUM(I16:I18)</f>
        <v>57092.33</v>
      </c>
      <c r="J15" s="75">
        <f>SUM(J16:J18)</f>
        <v>3359.87</v>
      </c>
      <c r="K15" s="80">
        <f>SUM(K16:K18)</f>
        <v>6745.28</v>
      </c>
      <c r="L15" s="63"/>
      <c r="M15" s="679"/>
    </row>
    <row r="16" spans="1:13" ht="15" customHeight="1" outlineLevel="1" x14ac:dyDescent="0.25">
      <c r="A16" s="168"/>
      <c r="B16" s="16" t="s">
        <v>555</v>
      </c>
      <c r="C16" s="47"/>
      <c r="D16" s="42"/>
      <c r="E16" s="72"/>
      <c r="F16" s="72"/>
      <c r="G16" s="92"/>
      <c r="H16" s="42"/>
      <c r="I16" s="72"/>
      <c r="J16" s="72"/>
      <c r="K16" s="92"/>
      <c r="L16" s="47"/>
    </row>
    <row r="17" spans="1:13" ht="15" customHeight="1" outlineLevel="1" x14ac:dyDescent="0.25">
      <c r="A17" s="168"/>
      <c r="B17" s="16" t="s">
        <v>554</v>
      </c>
      <c r="C17" s="47"/>
      <c r="D17" s="42"/>
      <c r="E17" s="72"/>
      <c r="F17" s="72"/>
      <c r="G17" s="92"/>
      <c r="H17" s="42"/>
      <c r="I17" s="72"/>
      <c r="J17" s="72"/>
      <c r="K17" s="92"/>
      <c r="L17" s="47"/>
    </row>
    <row r="18" spans="1:13" s="254" customFormat="1" ht="15" customHeight="1" outlineLevel="1" x14ac:dyDescent="0.25">
      <c r="A18" s="397"/>
      <c r="B18" s="248" t="s">
        <v>67</v>
      </c>
      <c r="C18" s="252">
        <v>67197.48</v>
      </c>
      <c r="D18" s="249">
        <f>E18+F18+G18</f>
        <v>67197.48</v>
      </c>
      <c r="E18" s="250">
        <f>C18*0.84962</f>
        <v>57092.322957600001</v>
      </c>
      <c r="F18" s="250">
        <f>C18*0.05</f>
        <v>3359.8739999999998</v>
      </c>
      <c r="G18" s="251">
        <f>C18-E18-F18</f>
        <v>6745.2830423999949</v>
      </c>
      <c r="H18" s="249">
        <f>I18+J18+K18</f>
        <v>67197.48000000001</v>
      </c>
      <c r="I18" s="250">
        <v>57092.33</v>
      </c>
      <c r="J18" s="250">
        <v>3359.87</v>
      </c>
      <c r="K18" s="251">
        <v>6745.28</v>
      </c>
      <c r="L18" s="252" t="s">
        <v>746</v>
      </c>
      <c r="M18" s="680"/>
    </row>
    <row r="19" spans="1:13" s="73" customFormat="1" ht="33" customHeight="1" x14ac:dyDescent="0.25">
      <c r="A19" s="167">
        <v>4</v>
      </c>
      <c r="B19" s="80" t="s">
        <v>263</v>
      </c>
      <c r="C19" s="63">
        <f>SUM(C20:C22)</f>
        <v>90796.82</v>
      </c>
      <c r="D19" s="40">
        <f>E19+F19+G19</f>
        <v>90796.82</v>
      </c>
      <c r="E19" s="75">
        <f>SUM(E20:E22)</f>
        <v>77142.8</v>
      </c>
      <c r="F19" s="75">
        <f>SUM(F20:F22)</f>
        <v>4539.84</v>
      </c>
      <c r="G19" s="80">
        <f>SUM(G20:G22)</f>
        <v>9114.18</v>
      </c>
      <c r="H19" s="274">
        <f>I19+J19+K19</f>
        <v>90796.82</v>
      </c>
      <c r="I19" s="75">
        <f>SUM(I20:I22)</f>
        <v>77142.8</v>
      </c>
      <c r="J19" s="75">
        <f>SUM(J20:J22)</f>
        <v>4539.84</v>
      </c>
      <c r="K19" s="80">
        <f>SUM(K20:K22)</f>
        <v>9114.18</v>
      </c>
      <c r="L19" s="63"/>
      <c r="M19" s="679"/>
    </row>
    <row r="20" spans="1:13" s="254" customFormat="1" ht="15" customHeight="1" outlineLevel="1" x14ac:dyDescent="0.25">
      <c r="A20" s="397"/>
      <c r="B20" s="248" t="s">
        <v>68</v>
      </c>
      <c r="C20" s="252"/>
      <c r="D20" s="249">
        <f>E20+F20+G20</f>
        <v>0</v>
      </c>
      <c r="E20" s="250"/>
      <c r="F20" s="250"/>
      <c r="G20" s="251"/>
      <c r="H20" s="249"/>
      <c r="I20" s="250"/>
      <c r="J20" s="250"/>
      <c r="K20" s="251"/>
      <c r="L20" s="252" t="s">
        <v>850</v>
      </c>
      <c r="M20" s="659">
        <v>42612</v>
      </c>
    </row>
    <row r="21" spans="1:13" ht="15" customHeight="1" outlineLevel="1" x14ac:dyDescent="0.25">
      <c r="A21" s="168"/>
      <c r="B21" s="16" t="s">
        <v>555</v>
      </c>
      <c r="C21" s="47"/>
      <c r="D21" s="42"/>
      <c r="E21" s="72"/>
      <c r="F21" s="72"/>
      <c r="G21" s="92"/>
      <c r="H21" s="42"/>
      <c r="I21" s="72"/>
      <c r="J21" s="72"/>
      <c r="K21" s="92"/>
      <c r="L21" s="47"/>
    </row>
    <row r="22" spans="1:13" s="254" customFormat="1" ht="15" customHeight="1" outlineLevel="1" x14ac:dyDescent="0.25">
      <c r="A22" s="397"/>
      <c r="B22" s="248" t="s">
        <v>67</v>
      </c>
      <c r="C22" s="252">
        <v>90796.82</v>
      </c>
      <c r="D22" s="249">
        <f t="shared" ref="D22:D35" si="2">E22+F22+G22</f>
        <v>90796.82</v>
      </c>
      <c r="E22" s="250">
        <v>77142.8</v>
      </c>
      <c r="F22" s="250">
        <v>4539.84</v>
      </c>
      <c r="G22" s="251">
        <v>9114.18</v>
      </c>
      <c r="H22" s="249">
        <f>I22+J22+K22</f>
        <v>90796.82</v>
      </c>
      <c r="I22" s="250">
        <v>77142.8</v>
      </c>
      <c r="J22" s="250">
        <v>4539.84</v>
      </c>
      <c r="K22" s="251">
        <v>9114.18</v>
      </c>
      <c r="L22" s="252" t="s">
        <v>746</v>
      </c>
      <c r="M22" s="680"/>
    </row>
    <row r="23" spans="1:13" s="108" customFormat="1" ht="26.25" customHeight="1" x14ac:dyDescent="0.25">
      <c r="A23" s="687">
        <v>5</v>
      </c>
      <c r="B23" s="229" t="s">
        <v>264</v>
      </c>
      <c r="C23" s="84">
        <f>SUM(C24:C25)</f>
        <v>2057421.82</v>
      </c>
      <c r="D23" s="228">
        <f t="shared" si="2"/>
        <v>2057421.82</v>
      </c>
      <c r="E23" s="201">
        <f>SUM(E24:E25)</f>
        <v>1600266.7267084001</v>
      </c>
      <c r="F23" s="201">
        <f>SUM(F24:F25)</f>
        <v>102871.091</v>
      </c>
      <c r="G23" s="229">
        <f>SUM(G24:G25)</f>
        <v>354284.00229159999</v>
      </c>
      <c r="H23" s="228">
        <f>I23+J23+K23</f>
        <v>2057421.82</v>
      </c>
      <c r="I23" s="201">
        <f>SUM(I24:I25)</f>
        <v>1600266.73</v>
      </c>
      <c r="J23" s="201">
        <f>SUM(J24:J25)</f>
        <v>102871.09</v>
      </c>
      <c r="K23" s="229">
        <f>SUM(K24:K25)</f>
        <v>354284</v>
      </c>
      <c r="L23" s="84"/>
      <c r="M23" s="688"/>
    </row>
    <row r="24" spans="1:13" s="703" customFormat="1" outlineLevel="1" x14ac:dyDescent="0.25">
      <c r="A24" s="696"/>
      <c r="B24" s="697" t="s">
        <v>64</v>
      </c>
      <c r="C24" s="698">
        <v>2000000</v>
      </c>
      <c r="D24" s="699">
        <f t="shared" si="2"/>
        <v>2000000</v>
      </c>
      <c r="E24" s="700">
        <v>1551480</v>
      </c>
      <c r="F24" s="700">
        <v>100000</v>
      </c>
      <c r="G24" s="701">
        <v>348520</v>
      </c>
      <c r="H24" s="699">
        <f>I24+J24+K24</f>
        <v>2000000</v>
      </c>
      <c r="I24" s="700">
        <v>1551480</v>
      </c>
      <c r="J24" s="700">
        <v>100000</v>
      </c>
      <c r="K24" s="701">
        <v>348520</v>
      </c>
      <c r="L24" s="698" t="s">
        <v>850</v>
      </c>
      <c r="M24" s="702">
        <v>42612</v>
      </c>
    </row>
    <row r="25" spans="1:13" s="254" customFormat="1" ht="15" customHeight="1" outlineLevel="1" x14ac:dyDescent="0.25">
      <c r="A25" s="397"/>
      <c r="B25" s="248" t="s">
        <v>67</v>
      </c>
      <c r="C25" s="252">
        <v>57421.82</v>
      </c>
      <c r="D25" s="249">
        <f t="shared" si="2"/>
        <v>57421.82</v>
      </c>
      <c r="E25" s="250">
        <f>C25*0.84962</f>
        <v>48786.726708400005</v>
      </c>
      <c r="F25" s="250">
        <f>C25*0.05</f>
        <v>2871.0910000000003</v>
      </c>
      <c r="G25" s="251">
        <f>C25-E25-F25</f>
        <v>5764.0022915999944</v>
      </c>
      <c r="H25" s="249">
        <f>I25+J25+K25</f>
        <v>57421.820000000007</v>
      </c>
      <c r="I25" s="250">
        <v>48786.73</v>
      </c>
      <c r="J25" s="250">
        <v>2871.09</v>
      </c>
      <c r="K25" s="251">
        <v>5764</v>
      </c>
      <c r="L25" s="252" t="s">
        <v>746</v>
      </c>
      <c r="M25" s="680"/>
    </row>
    <row r="26" spans="1:13" s="108" customFormat="1" ht="26.25" customHeight="1" x14ac:dyDescent="0.25">
      <c r="A26" s="687">
        <v>6</v>
      </c>
      <c r="B26" s="229" t="s">
        <v>265</v>
      </c>
      <c r="C26" s="84">
        <f>SUM(C27:C28)</f>
        <v>55284.79</v>
      </c>
      <c r="D26" s="228">
        <f t="shared" si="2"/>
        <v>55284.790000000008</v>
      </c>
      <c r="E26" s="201">
        <f>SUM(E27:E28)</f>
        <v>46971.063279800001</v>
      </c>
      <c r="F26" s="201">
        <f>SUM(F27:F28)</f>
        <v>2764.2395000000001</v>
      </c>
      <c r="G26" s="229">
        <f>SUM(G27:G28)</f>
        <v>5549.4872202000006</v>
      </c>
      <c r="H26" s="228">
        <f>I26+J26+K26</f>
        <v>55284.789999999994</v>
      </c>
      <c r="I26" s="201">
        <f>SUM(I27:I28)</f>
        <v>46971.06</v>
      </c>
      <c r="J26" s="201">
        <f>SUM(J27:J28)</f>
        <v>2764.24</v>
      </c>
      <c r="K26" s="229">
        <f>SUM(K27:K28)</f>
        <v>5549.49</v>
      </c>
      <c r="L26" s="84"/>
      <c r="M26" s="688"/>
    </row>
    <row r="27" spans="1:13" s="166" customFormat="1" ht="15" customHeight="1" outlineLevel="1" x14ac:dyDescent="0.25">
      <c r="A27" s="689"/>
      <c r="B27" s="283" t="s">
        <v>65</v>
      </c>
      <c r="C27" s="87"/>
      <c r="D27" s="264">
        <f t="shared" si="2"/>
        <v>0</v>
      </c>
      <c r="E27" s="202"/>
      <c r="F27" s="202"/>
      <c r="G27" s="265"/>
      <c r="H27" s="264"/>
      <c r="I27" s="202"/>
      <c r="J27" s="202"/>
      <c r="K27" s="265"/>
      <c r="L27" s="87" t="s">
        <v>850</v>
      </c>
      <c r="M27" s="690">
        <v>42612</v>
      </c>
    </row>
    <row r="28" spans="1:13" s="254" customFormat="1" ht="15" customHeight="1" outlineLevel="1" x14ac:dyDescent="0.25">
      <c r="A28" s="397"/>
      <c r="B28" s="248" t="s">
        <v>67</v>
      </c>
      <c r="C28" s="252">
        <v>55284.79</v>
      </c>
      <c r="D28" s="249">
        <f t="shared" si="2"/>
        <v>55284.790000000008</v>
      </c>
      <c r="E28" s="250">
        <f>C28*0.84962</f>
        <v>46971.063279800001</v>
      </c>
      <c r="F28" s="250">
        <f>C28*0.05</f>
        <v>2764.2395000000001</v>
      </c>
      <c r="G28" s="251">
        <f>C28-E28-F28</f>
        <v>5549.4872202000006</v>
      </c>
      <c r="H28" s="249">
        <f>I28+J28+K28</f>
        <v>55284.789999999994</v>
      </c>
      <c r="I28" s="250">
        <v>46971.06</v>
      </c>
      <c r="J28" s="250">
        <v>2764.24</v>
      </c>
      <c r="K28" s="251">
        <v>5549.49</v>
      </c>
      <c r="L28" s="252" t="s">
        <v>746</v>
      </c>
      <c r="M28" s="680"/>
    </row>
    <row r="29" spans="1:13" s="108" customFormat="1" ht="33.75" customHeight="1" x14ac:dyDescent="0.25">
      <c r="A29" s="687">
        <v>7</v>
      </c>
      <c r="B29" s="691" t="s">
        <v>266</v>
      </c>
      <c r="C29" s="84">
        <f>SUM(C30:C31)</f>
        <v>55275.05</v>
      </c>
      <c r="D29" s="228">
        <f t="shared" si="2"/>
        <v>55275.05</v>
      </c>
      <c r="E29" s="201">
        <f>SUM(E30:E31)</f>
        <v>46962.787981000001</v>
      </c>
      <c r="F29" s="201">
        <f>SUM(F30:F31)</f>
        <v>2763.7525000000005</v>
      </c>
      <c r="G29" s="229">
        <f>SUM(G30:G31)</f>
        <v>5548.5095190000011</v>
      </c>
      <c r="H29" s="228">
        <f>I29+J29+K29</f>
        <v>55275.05</v>
      </c>
      <c r="I29" s="201">
        <f>SUM(I30:I31)</f>
        <v>46962.79</v>
      </c>
      <c r="J29" s="201">
        <f>SUM(J30:J31)</f>
        <v>2763.75</v>
      </c>
      <c r="K29" s="229">
        <f>SUM(K30:K31)</f>
        <v>5548.51</v>
      </c>
      <c r="L29" s="84"/>
      <c r="M29" s="688"/>
    </row>
    <row r="30" spans="1:13" s="166" customFormat="1" ht="15" customHeight="1" outlineLevel="1" x14ac:dyDescent="0.25">
      <c r="A30" s="689"/>
      <c r="B30" s="283" t="s">
        <v>65</v>
      </c>
      <c r="C30" s="87"/>
      <c r="D30" s="264">
        <f t="shared" si="2"/>
        <v>0</v>
      </c>
      <c r="E30" s="202"/>
      <c r="F30" s="202"/>
      <c r="G30" s="265"/>
      <c r="H30" s="264"/>
      <c r="I30" s="202"/>
      <c r="J30" s="202"/>
      <c r="K30" s="265"/>
      <c r="L30" s="87" t="s">
        <v>850</v>
      </c>
      <c r="M30" s="690">
        <v>42612</v>
      </c>
    </row>
    <row r="31" spans="1:13" s="254" customFormat="1" ht="15" customHeight="1" outlineLevel="1" x14ac:dyDescent="0.25">
      <c r="A31" s="397"/>
      <c r="B31" s="248" t="s">
        <v>67</v>
      </c>
      <c r="C31" s="252">
        <v>55275.05</v>
      </c>
      <c r="D31" s="249">
        <f t="shared" si="2"/>
        <v>55275.05</v>
      </c>
      <c r="E31" s="250">
        <f>C31*0.84962</f>
        <v>46962.787981000001</v>
      </c>
      <c r="F31" s="250">
        <f>C31*0.05</f>
        <v>2763.7525000000005</v>
      </c>
      <c r="G31" s="251">
        <f>C31-E31-F31</f>
        <v>5548.5095190000011</v>
      </c>
      <c r="H31" s="249">
        <f>I31+J31+K31</f>
        <v>55275.05</v>
      </c>
      <c r="I31" s="250">
        <v>46962.79</v>
      </c>
      <c r="J31" s="250">
        <v>2763.75</v>
      </c>
      <c r="K31" s="251">
        <v>5548.51</v>
      </c>
      <c r="L31" s="252" t="s">
        <v>746</v>
      </c>
      <c r="M31" s="680"/>
    </row>
    <row r="32" spans="1:13" s="108" customFormat="1" ht="30" customHeight="1" x14ac:dyDescent="0.25">
      <c r="A32" s="687">
        <v>8</v>
      </c>
      <c r="B32" s="229" t="s">
        <v>267</v>
      </c>
      <c r="C32" s="84">
        <f>SUM(C33:C34)</f>
        <v>68925.64</v>
      </c>
      <c r="D32" s="228">
        <f t="shared" si="2"/>
        <v>68925.64</v>
      </c>
      <c r="E32" s="201">
        <f>SUM(E33:E34)</f>
        <v>58560.602256800004</v>
      </c>
      <c r="F32" s="201">
        <f>SUM(F33:F34)</f>
        <v>3446.2820000000002</v>
      </c>
      <c r="G32" s="229">
        <f>SUM(G33:G34)</f>
        <v>6918.7557431999949</v>
      </c>
      <c r="H32" s="228">
        <f>I32+J32+K32</f>
        <v>68925.64</v>
      </c>
      <c r="I32" s="201">
        <f>SUM(I33:I34)</f>
        <v>58560.6</v>
      </c>
      <c r="J32" s="201">
        <f>SUM(J33:J34)</f>
        <v>3446.28</v>
      </c>
      <c r="K32" s="229">
        <f>SUM(K33:K34)</f>
        <v>6918.76</v>
      </c>
      <c r="L32" s="84"/>
      <c r="M32" s="688"/>
    </row>
    <row r="33" spans="1:13" s="166" customFormat="1" outlineLevel="1" x14ac:dyDescent="0.25">
      <c r="A33" s="689"/>
      <c r="B33" s="283" t="s">
        <v>64</v>
      </c>
      <c r="C33" s="87"/>
      <c r="D33" s="264">
        <f t="shared" si="2"/>
        <v>0</v>
      </c>
      <c r="E33" s="202"/>
      <c r="F33" s="202"/>
      <c r="G33" s="265"/>
      <c r="H33" s="264"/>
      <c r="I33" s="202"/>
      <c r="J33" s="202"/>
      <c r="K33" s="265"/>
      <c r="L33" s="87" t="s">
        <v>850</v>
      </c>
      <c r="M33" s="690">
        <v>42612</v>
      </c>
    </row>
    <row r="34" spans="1:13" s="254" customFormat="1" ht="15" customHeight="1" outlineLevel="1" x14ac:dyDescent="0.25">
      <c r="A34" s="397"/>
      <c r="B34" s="248" t="s">
        <v>67</v>
      </c>
      <c r="C34" s="252">
        <v>68925.64</v>
      </c>
      <c r="D34" s="249">
        <f t="shared" si="2"/>
        <v>68925.64</v>
      </c>
      <c r="E34" s="250">
        <f>C34*0.84962</f>
        <v>58560.602256800004</v>
      </c>
      <c r="F34" s="250">
        <f>C34*0.05</f>
        <v>3446.2820000000002</v>
      </c>
      <c r="G34" s="251">
        <f>C34-E34-F34</f>
        <v>6918.7557431999949</v>
      </c>
      <c r="H34" s="249">
        <f>I34+J34+K34</f>
        <v>68925.64</v>
      </c>
      <c r="I34" s="250">
        <v>58560.6</v>
      </c>
      <c r="J34" s="250">
        <v>3446.28</v>
      </c>
      <c r="K34" s="251">
        <v>6918.76</v>
      </c>
      <c r="L34" s="252" t="s">
        <v>746</v>
      </c>
      <c r="M34" s="680"/>
    </row>
    <row r="35" spans="1:13" s="108" customFormat="1" ht="33.75" customHeight="1" x14ac:dyDescent="0.25">
      <c r="A35" s="687">
        <v>9</v>
      </c>
      <c r="B35" s="229" t="s">
        <v>268</v>
      </c>
      <c r="C35" s="84">
        <f>SUM(C36:C38)</f>
        <v>162359.67000000001</v>
      </c>
      <c r="D35" s="228">
        <f t="shared" si="2"/>
        <v>162359.67000000001</v>
      </c>
      <c r="E35" s="201">
        <f>SUM(E36:E38)</f>
        <v>137944.02282540002</v>
      </c>
      <c r="F35" s="201">
        <f>SUM(F36:F38)</f>
        <v>8117.9835000000012</v>
      </c>
      <c r="G35" s="229">
        <f>SUM(G36:G38)</f>
        <v>16297.663674599986</v>
      </c>
      <c r="H35" s="228">
        <f>I35+J35+K35</f>
        <v>162359.67000000001</v>
      </c>
      <c r="I35" s="201">
        <f>SUM(I36:I38)</f>
        <v>137944.03</v>
      </c>
      <c r="J35" s="201">
        <f>SUM(J36:J38)</f>
        <v>8117.98</v>
      </c>
      <c r="K35" s="229">
        <f>SUM(K36:K38)</f>
        <v>16297.66</v>
      </c>
      <c r="L35" s="84"/>
      <c r="M35" s="688"/>
    </row>
    <row r="36" spans="1:13" s="166" customFormat="1" ht="15" customHeight="1" outlineLevel="1" x14ac:dyDescent="0.25">
      <c r="A36" s="689"/>
      <c r="B36" s="283" t="s">
        <v>68</v>
      </c>
      <c r="C36" s="87"/>
      <c r="D36" s="264">
        <f t="shared" ref="D36:D37" si="3">E36+F36+G36</f>
        <v>0</v>
      </c>
      <c r="E36" s="202"/>
      <c r="F36" s="202"/>
      <c r="G36" s="265"/>
      <c r="H36" s="264"/>
      <c r="I36" s="202"/>
      <c r="J36" s="202"/>
      <c r="K36" s="265"/>
      <c r="L36" s="87" t="s">
        <v>850</v>
      </c>
      <c r="M36" s="690">
        <v>42612</v>
      </c>
    </row>
    <row r="37" spans="1:13" s="166" customFormat="1" outlineLevel="1" x14ac:dyDescent="0.25">
      <c r="A37" s="689"/>
      <c r="B37" s="283" t="s">
        <v>64</v>
      </c>
      <c r="C37" s="87"/>
      <c r="D37" s="264">
        <f t="shared" si="3"/>
        <v>0</v>
      </c>
      <c r="E37" s="202"/>
      <c r="F37" s="202"/>
      <c r="G37" s="265"/>
      <c r="H37" s="264"/>
      <c r="I37" s="202"/>
      <c r="J37" s="202"/>
      <c r="K37" s="265"/>
      <c r="L37" s="87" t="s">
        <v>850</v>
      </c>
      <c r="M37" s="690">
        <v>42612</v>
      </c>
    </row>
    <row r="38" spans="1:13" s="254" customFormat="1" ht="15" customHeight="1" outlineLevel="1" x14ac:dyDescent="0.25">
      <c r="A38" s="397"/>
      <c r="B38" s="248" t="s">
        <v>67</v>
      </c>
      <c r="C38" s="252">
        <v>162359.67000000001</v>
      </c>
      <c r="D38" s="249">
        <f>E38+F38+G38</f>
        <v>162359.67000000001</v>
      </c>
      <c r="E38" s="250">
        <f>C38*0.84962</f>
        <v>137944.02282540002</v>
      </c>
      <c r="F38" s="250">
        <f>C38*0.05</f>
        <v>8117.9835000000012</v>
      </c>
      <c r="G38" s="251">
        <f>C38-E38-F38</f>
        <v>16297.663674599986</v>
      </c>
      <c r="H38" s="249">
        <f>I38+J38+K38</f>
        <v>162359.67000000001</v>
      </c>
      <c r="I38" s="250">
        <v>137944.03</v>
      </c>
      <c r="J38" s="250">
        <v>8117.98</v>
      </c>
      <c r="K38" s="251">
        <v>16297.66</v>
      </c>
      <c r="L38" s="252" t="s">
        <v>746</v>
      </c>
      <c r="M38" s="680"/>
    </row>
    <row r="39" spans="1:13" s="73" customFormat="1" ht="30" customHeight="1" x14ac:dyDescent="0.25">
      <c r="A39" s="167">
        <v>10</v>
      </c>
      <c r="B39" s="80" t="s">
        <v>274</v>
      </c>
      <c r="C39" s="63">
        <f>SUM(C40:C42)</f>
        <v>68691.240000000005</v>
      </c>
      <c r="D39" s="40">
        <f>E39+F39+G39</f>
        <v>68691.240000000005</v>
      </c>
      <c r="E39" s="75">
        <f>SUM(E40:E42)</f>
        <v>58361.451328800009</v>
      </c>
      <c r="F39" s="75">
        <f>SUM(F40:F42)</f>
        <v>3434.5620000000004</v>
      </c>
      <c r="G39" s="80">
        <f>SUM(G40:G42)</f>
        <v>6895.2266711999964</v>
      </c>
      <c r="H39" s="274">
        <f>I39+J39+K39</f>
        <v>68691.239999999991</v>
      </c>
      <c r="I39" s="75">
        <f>SUM(I40:I42)</f>
        <v>58361.45</v>
      </c>
      <c r="J39" s="75">
        <f>SUM(J40:J42)</f>
        <v>3434.56</v>
      </c>
      <c r="K39" s="80">
        <f>SUM(K40:K42)</f>
        <v>6895.23</v>
      </c>
      <c r="L39" s="63"/>
      <c r="M39" s="679"/>
    </row>
    <row r="40" spans="1:13" ht="15" customHeight="1" outlineLevel="1" x14ac:dyDescent="0.25">
      <c r="A40" s="168"/>
      <c r="B40" s="16" t="s">
        <v>555</v>
      </c>
      <c r="C40" s="47"/>
      <c r="D40" s="42"/>
      <c r="E40" s="72"/>
      <c r="F40" s="72"/>
      <c r="G40" s="92"/>
      <c r="H40" s="42"/>
      <c r="I40" s="72"/>
      <c r="J40" s="72"/>
      <c r="K40" s="92"/>
      <c r="L40" s="47"/>
    </row>
    <row r="41" spans="1:13" ht="15" customHeight="1" outlineLevel="1" x14ac:dyDescent="0.25">
      <c r="A41" s="168"/>
      <c r="B41" s="16" t="s">
        <v>554</v>
      </c>
      <c r="C41" s="47"/>
      <c r="D41" s="42"/>
      <c r="E41" s="72"/>
      <c r="F41" s="72"/>
      <c r="G41" s="92"/>
      <c r="H41" s="42"/>
      <c r="I41" s="72"/>
      <c r="J41" s="72"/>
      <c r="K41" s="92"/>
      <c r="L41" s="47"/>
    </row>
    <row r="42" spans="1:13" s="254" customFormat="1" ht="15" customHeight="1" outlineLevel="1" x14ac:dyDescent="0.25">
      <c r="A42" s="397"/>
      <c r="B42" s="248" t="s">
        <v>67</v>
      </c>
      <c r="C42" s="252">
        <v>68691.240000000005</v>
      </c>
      <c r="D42" s="249">
        <f t="shared" ref="D42:D57" si="4">E42+F42+G42</f>
        <v>68691.240000000005</v>
      </c>
      <c r="E42" s="250">
        <f>C42*0.84962</f>
        <v>58361.451328800009</v>
      </c>
      <c r="F42" s="250">
        <f>C42*0.05</f>
        <v>3434.5620000000004</v>
      </c>
      <c r="G42" s="251">
        <f>C42-E42-F42</f>
        <v>6895.2266711999964</v>
      </c>
      <c r="H42" s="249">
        <f>I42+J42+K42</f>
        <v>68691.239999999991</v>
      </c>
      <c r="I42" s="250">
        <v>58361.45</v>
      </c>
      <c r="J42" s="250">
        <v>3434.56</v>
      </c>
      <c r="K42" s="251">
        <v>6895.23</v>
      </c>
      <c r="L42" s="252" t="s">
        <v>746</v>
      </c>
      <c r="M42" s="680"/>
    </row>
    <row r="43" spans="1:13" s="108" customFormat="1" ht="33.75" customHeight="1" x14ac:dyDescent="0.25">
      <c r="A43" s="687">
        <v>11</v>
      </c>
      <c r="B43" s="229" t="s">
        <v>269</v>
      </c>
      <c r="C43" s="84">
        <f>SUM(C44:C45)</f>
        <v>68749.2</v>
      </c>
      <c r="D43" s="228">
        <f t="shared" si="4"/>
        <v>68749.2</v>
      </c>
      <c r="E43" s="201">
        <f>SUM(E44:E45)</f>
        <v>58410.695304000001</v>
      </c>
      <c r="F43" s="201">
        <f>SUM(F44:F45)</f>
        <v>3437.46</v>
      </c>
      <c r="G43" s="229">
        <f>SUM(G44:G45)</f>
        <v>6901.0446959999963</v>
      </c>
      <c r="H43" s="228">
        <f>I43+J43+K43</f>
        <v>68749.2</v>
      </c>
      <c r="I43" s="201">
        <f>SUM(I44:I45)</f>
        <v>58410.7</v>
      </c>
      <c r="J43" s="201">
        <f>SUM(J44:J45)</f>
        <v>3437.46</v>
      </c>
      <c r="K43" s="229">
        <f>SUM(K44:K45)</f>
        <v>6901.04</v>
      </c>
      <c r="L43" s="84"/>
      <c r="M43" s="688"/>
    </row>
    <row r="44" spans="1:13" s="166" customFormat="1" outlineLevel="1" x14ac:dyDescent="0.25">
      <c r="A44" s="689"/>
      <c r="B44" s="283" t="s">
        <v>64</v>
      </c>
      <c r="C44" s="87"/>
      <c r="D44" s="264">
        <f t="shared" si="4"/>
        <v>0</v>
      </c>
      <c r="E44" s="202"/>
      <c r="F44" s="202"/>
      <c r="G44" s="265"/>
      <c r="H44" s="264"/>
      <c r="I44" s="202"/>
      <c r="J44" s="202"/>
      <c r="K44" s="265"/>
      <c r="L44" s="87" t="s">
        <v>850</v>
      </c>
      <c r="M44" s="690">
        <v>42612</v>
      </c>
    </row>
    <row r="45" spans="1:13" s="254" customFormat="1" ht="15" customHeight="1" outlineLevel="1" x14ac:dyDescent="0.25">
      <c r="A45" s="397"/>
      <c r="B45" s="248" t="s">
        <v>67</v>
      </c>
      <c r="C45" s="252">
        <v>68749.2</v>
      </c>
      <c r="D45" s="249">
        <f t="shared" si="4"/>
        <v>68749.2</v>
      </c>
      <c r="E45" s="250">
        <f>C45*0.84962</f>
        <v>58410.695304000001</v>
      </c>
      <c r="F45" s="250">
        <f>C45*0.05</f>
        <v>3437.46</v>
      </c>
      <c r="G45" s="251">
        <f>C45-E45-F45</f>
        <v>6901.0446959999963</v>
      </c>
      <c r="H45" s="249">
        <f>I45+J45+K45</f>
        <v>68749.2</v>
      </c>
      <c r="I45" s="250">
        <v>58410.7</v>
      </c>
      <c r="J45" s="250">
        <v>3437.46</v>
      </c>
      <c r="K45" s="251">
        <v>6901.04</v>
      </c>
      <c r="L45" s="252" t="s">
        <v>746</v>
      </c>
      <c r="M45" s="680"/>
    </row>
    <row r="46" spans="1:13" s="108" customFormat="1" ht="28.5" customHeight="1" x14ac:dyDescent="0.25">
      <c r="A46" s="687">
        <v>12</v>
      </c>
      <c r="B46" s="229" t="s">
        <v>572</v>
      </c>
      <c r="C46" s="84">
        <f>SUM(C47:C48)</f>
        <v>58093.2</v>
      </c>
      <c r="D46" s="228">
        <f t="shared" si="4"/>
        <v>58093.2</v>
      </c>
      <c r="E46" s="201">
        <f>SUM(E47:E48)</f>
        <v>49357.144584000001</v>
      </c>
      <c r="F46" s="201">
        <f>SUM(F47:F48)</f>
        <v>2904.66</v>
      </c>
      <c r="G46" s="229">
        <f>SUM(G47:G48)</f>
        <v>5831.3954159999957</v>
      </c>
      <c r="H46" s="228">
        <f>I46+J46+K46</f>
        <v>58093.200000000004</v>
      </c>
      <c r="I46" s="201">
        <f>SUM(I47:I48)</f>
        <v>49357.14</v>
      </c>
      <c r="J46" s="201">
        <f>SUM(J47:J48)</f>
        <v>2904.66</v>
      </c>
      <c r="K46" s="229">
        <f>SUM(K47:K48)</f>
        <v>5831.4</v>
      </c>
      <c r="L46" s="84"/>
      <c r="M46" s="688"/>
    </row>
    <row r="47" spans="1:13" s="166" customFormat="1" ht="14.25" customHeight="1" outlineLevel="1" x14ac:dyDescent="0.25">
      <c r="A47" s="689"/>
      <c r="B47" s="283" t="s">
        <v>65</v>
      </c>
      <c r="C47" s="87"/>
      <c r="D47" s="264">
        <f t="shared" si="4"/>
        <v>0</v>
      </c>
      <c r="E47" s="202"/>
      <c r="F47" s="202"/>
      <c r="G47" s="265"/>
      <c r="H47" s="264"/>
      <c r="I47" s="202"/>
      <c r="J47" s="202"/>
      <c r="K47" s="265"/>
      <c r="L47" s="87" t="s">
        <v>850</v>
      </c>
      <c r="M47" s="690">
        <v>42612</v>
      </c>
    </row>
    <row r="48" spans="1:13" s="254" customFormat="1" ht="14.25" customHeight="1" outlineLevel="1" x14ac:dyDescent="0.25">
      <c r="A48" s="397"/>
      <c r="B48" s="248" t="s">
        <v>67</v>
      </c>
      <c r="C48" s="252">
        <v>58093.2</v>
      </c>
      <c r="D48" s="249">
        <f t="shared" si="4"/>
        <v>58093.2</v>
      </c>
      <c r="E48" s="250">
        <f>C48*0.84962</f>
        <v>49357.144584000001</v>
      </c>
      <c r="F48" s="250">
        <f>C48*0.05</f>
        <v>2904.66</v>
      </c>
      <c r="G48" s="251">
        <f>C48-E48-F48</f>
        <v>5831.3954159999957</v>
      </c>
      <c r="H48" s="249">
        <f>I48+J48+K48</f>
        <v>58093.200000000004</v>
      </c>
      <c r="I48" s="250">
        <v>49357.14</v>
      </c>
      <c r="J48" s="250">
        <v>2904.66</v>
      </c>
      <c r="K48" s="251">
        <v>5831.4</v>
      </c>
      <c r="L48" s="252" t="s">
        <v>746</v>
      </c>
      <c r="M48" s="680"/>
    </row>
    <row r="49" spans="1:13" s="108" customFormat="1" ht="32.25" customHeight="1" x14ac:dyDescent="0.25">
      <c r="A49" s="687">
        <v>13</v>
      </c>
      <c r="B49" s="229" t="s">
        <v>270</v>
      </c>
      <c r="C49" s="84">
        <f>SUM(C50:C51)</f>
        <v>55343.199999999997</v>
      </c>
      <c r="D49" s="228">
        <f t="shared" si="4"/>
        <v>55343.199999999997</v>
      </c>
      <c r="E49" s="201">
        <f>SUM(E50:E51)</f>
        <v>47020.689584</v>
      </c>
      <c r="F49" s="201">
        <f>SUM(F50:F51)</f>
        <v>2767.16</v>
      </c>
      <c r="G49" s="229">
        <f>SUM(G50:G51)</f>
        <v>5555.3504159999975</v>
      </c>
      <c r="H49" s="228">
        <f>I49+J49+K49</f>
        <v>55343.200000000004</v>
      </c>
      <c r="I49" s="201">
        <f>SUM(I50:I51)</f>
        <v>47020.69</v>
      </c>
      <c r="J49" s="201">
        <f>SUM(J50:J51)</f>
        <v>2767.16</v>
      </c>
      <c r="K49" s="229">
        <f>SUM(K50:K51)</f>
        <v>5555.35</v>
      </c>
      <c r="L49" s="84"/>
      <c r="M49" s="688"/>
    </row>
    <row r="50" spans="1:13" s="166" customFormat="1" ht="15" customHeight="1" outlineLevel="1" x14ac:dyDescent="0.25">
      <c r="A50" s="689"/>
      <c r="B50" s="283" t="s">
        <v>65</v>
      </c>
      <c r="C50" s="87"/>
      <c r="D50" s="264">
        <f t="shared" si="4"/>
        <v>0</v>
      </c>
      <c r="E50" s="202"/>
      <c r="F50" s="202"/>
      <c r="G50" s="265"/>
      <c r="H50" s="264"/>
      <c r="I50" s="202"/>
      <c r="J50" s="202"/>
      <c r="K50" s="265"/>
      <c r="L50" s="87" t="s">
        <v>850</v>
      </c>
      <c r="M50" s="690">
        <v>42612</v>
      </c>
    </row>
    <row r="51" spans="1:13" s="254" customFormat="1" ht="15" customHeight="1" outlineLevel="1" x14ac:dyDescent="0.25">
      <c r="A51" s="397"/>
      <c r="B51" s="248" t="s">
        <v>67</v>
      </c>
      <c r="C51" s="252">
        <v>55343.199999999997</v>
      </c>
      <c r="D51" s="249">
        <f t="shared" si="4"/>
        <v>55343.199999999997</v>
      </c>
      <c r="E51" s="250">
        <f>C51*0.84962</f>
        <v>47020.689584</v>
      </c>
      <c r="F51" s="250">
        <f>C51*0.05</f>
        <v>2767.16</v>
      </c>
      <c r="G51" s="251">
        <f>C51-E51-F51</f>
        <v>5555.3504159999975</v>
      </c>
      <c r="H51" s="249">
        <f>I51+J51+K51</f>
        <v>55343.200000000004</v>
      </c>
      <c r="I51" s="250">
        <v>47020.69</v>
      </c>
      <c r="J51" s="250">
        <v>2767.16</v>
      </c>
      <c r="K51" s="251">
        <v>5555.35</v>
      </c>
      <c r="L51" s="252" t="s">
        <v>746</v>
      </c>
      <c r="M51" s="680"/>
    </row>
    <row r="52" spans="1:13" s="108" customFormat="1" ht="27.75" customHeight="1" x14ac:dyDescent="0.25">
      <c r="A52" s="687">
        <v>14</v>
      </c>
      <c r="B52" s="229" t="s">
        <v>271</v>
      </c>
      <c r="C52" s="84">
        <f>SUM(C53:C54)</f>
        <v>56141.42</v>
      </c>
      <c r="D52" s="228">
        <f t="shared" si="4"/>
        <v>56141.42</v>
      </c>
      <c r="E52" s="201">
        <f>SUM(E53:E54)</f>
        <v>47698.873260400003</v>
      </c>
      <c r="F52" s="201">
        <f>SUM(F53:F54)</f>
        <v>2807.0709999999999</v>
      </c>
      <c r="G52" s="229">
        <f>SUM(G53:G54)</f>
        <v>5635.475739599995</v>
      </c>
      <c r="H52" s="228">
        <f>I52+J52+K52</f>
        <v>56141.42</v>
      </c>
      <c r="I52" s="201">
        <f>SUM(I53:I54)</f>
        <v>47698.87</v>
      </c>
      <c r="J52" s="201">
        <f>SUM(J53:J54)</f>
        <v>2807.07</v>
      </c>
      <c r="K52" s="229">
        <f>SUM(K53:K54)</f>
        <v>5635.48</v>
      </c>
      <c r="L52" s="84"/>
      <c r="M52" s="688"/>
    </row>
    <row r="53" spans="1:13" s="166" customFormat="1" ht="15" customHeight="1" outlineLevel="1" x14ac:dyDescent="0.25">
      <c r="A53" s="689"/>
      <c r="B53" s="283" t="s">
        <v>65</v>
      </c>
      <c r="C53" s="87"/>
      <c r="D53" s="264">
        <f t="shared" si="4"/>
        <v>0</v>
      </c>
      <c r="E53" s="202"/>
      <c r="F53" s="202"/>
      <c r="G53" s="265"/>
      <c r="H53" s="264"/>
      <c r="I53" s="202"/>
      <c r="J53" s="202"/>
      <c r="K53" s="265"/>
      <c r="L53" s="87" t="s">
        <v>850</v>
      </c>
      <c r="M53" s="690">
        <v>42612</v>
      </c>
    </row>
    <row r="54" spans="1:13" s="254" customFormat="1" ht="15" customHeight="1" outlineLevel="1" x14ac:dyDescent="0.25">
      <c r="A54" s="397"/>
      <c r="B54" s="248" t="s">
        <v>67</v>
      </c>
      <c r="C54" s="252">
        <v>56141.42</v>
      </c>
      <c r="D54" s="249">
        <f t="shared" si="4"/>
        <v>56141.42</v>
      </c>
      <c r="E54" s="250">
        <f>C54*0.84962</f>
        <v>47698.873260400003</v>
      </c>
      <c r="F54" s="250">
        <f>C54*0.05</f>
        <v>2807.0709999999999</v>
      </c>
      <c r="G54" s="251">
        <f>C54-E54-F54</f>
        <v>5635.475739599995</v>
      </c>
      <c r="H54" s="249">
        <f>I54+J54+K54</f>
        <v>56141.42</v>
      </c>
      <c r="I54" s="250">
        <v>47698.87</v>
      </c>
      <c r="J54" s="250">
        <v>2807.07</v>
      </c>
      <c r="K54" s="251">
        <v>5635.48</v>
      </c>
      <c r="L54" s="252" t="s">
        <v>746</v>
      </c>
      <c r="M54" s="680"/>
    </row>
    <row r="55" spans="1:13" s="108" customFormat="1" ht="27.75" customHeight="1" x14ac:dyDescent="0.25">
      <c r="A55" s="687">
        <v>15</v>
      </c>
      <c r="B55" s="229" t="s">
        <v>272</v>
      </c>
      <c r="C55" s="84">
        <f>SUM(C56:C57)</f>
        <v>55153.37</v>
      </c>
      <c r="D55" s="228">
        <f t="shared" si="4"/>
        <v>55153.37</v>
      </c>
      <c r="E55" s="201">
        <f>SUM(E56:E57)</f>
        <v>46859.406219400007</v>
      </c>
      <c r="F55" s="201">
        <f>SUM(F56:F57)</f>
        <v>2757.6685000000002</v>
      </c>
      <c r="G55" s="229">
        <f>SUM(G56:G57)</f>
        <v>5536.2952805999957</v>
      </c>
      <c r="H55" s="228">
        <f>I55+J55+K55</f>
        <v>55153.37</v>
      </c>
      <c r="I55" s="201">
        <f>SUM(I56:I57)</f>
        <v>46859.4</v>
      </c>
      <c r="J55" s="201">
        <f>SUM(J56:J57)</f>
        <v>2757.67</v>
      </c>
      <c r="K55" s="229">
        <f>SUM(K56:K57)</f>
        <v>5536.3</v>
      </c>
      <c r="L55" s="84"/>
      <c r="M55" s="688"/>
    </row>
    <row r="56" spans="1:13" s="166" customFormat="1" ht="15" customHeight="1" outlineLevel="1" x14ac:dyDescent="0.25">
      <c r="A56" s="692"/>
      <c r="B56" s="283" t="s">
        <v>65</v>
      </c>
      <c r="C56" s="172"/>
      <c r="D56" s="264">
        <f t="shared" si="4"/>
        <v>0</v>
      </c>
      <c r="E56" s="693"/>
      <c r="F56" s="693"/>
      <c r="G56" s="694"/>
      <c r="H56" s="695"/>
      <c r="I56" s="693"/>
      <c r="J56" s="693"/>
      <c r="K56" s="694"/>
      <c r="L56" s="87" t="s">
        <v>850</v>
      </c>
      <c r="M56" s="690">
        <v>42612</v>
      </c>
    </row>
    <row r="57" spans="1:13" s="254" customFormat="1" ht="15" customHeight="1" outlineLevel="1" x14ac:dyDescent="0.25">
      <c r="A57" s="576"/>
      <c r="B57" s="248" t="s">
        <v>67</v>
      </c>
      <c r="C57" s="268">
        <v>55153.37</v>
      </c>
      <c r="D57" s="249">
        <f t="shared" si="4"/>
        <v>55153.37</v>
      </c>
      <c r="E57" s="250">
        <f>C57*0.84962</f>
        <v>46859.406219400007</v>
      </c>
      <c r="F57" s="250">
        <f>C57*0.05</f>
        <v>2757.6685000000002</v>
      </c>
      <c r="G57" s="251">
        <f>C57-E57-F57</f>
        <v>5536.2952805999957</v>
      </c>
      <c r="H57" s="317">
        <f>I57+J57+K57</f>
        <v>55153.37</v>
      </c>
      <c r="I57" s="318">
        <v>46859.4</v>
      </c>
      <c r="J57" s="318">
        <v>2757.67</v>
      </c>
      <c r="K57" s="319">
        <v>5536.3</v>
      </c>
      <c r="L57" s="252" t="s">
        <v>746</v>
      </c>
      <c r="M57" s="680"/>
    </row>
    <row r="58" spans="1:13" s="73" customFormat="1" ht="30" customHeight="1" thickBot="1" x14ac:dyDescent="0.3">
      <c r="A58" s="173">
        <v>16</v>
      </c>
      <c r="B58" s="174" t="s">
        <v>556</v>
      </c>
      <c r="C58" s="175"/>
      <c r="D58" s="177"/>
      <c r="E58" s="137"/>
      <c r="F58" s="137"/>
      <c r="G58" s="174"/>
      <c r="H58" s="177"/>
      <c r="I58" s="137"/>
      <c r="J58" s="137"/>
      <c r="K58" s="174"/>
      <c r="L58" s="175"/>
      <c r="M58" s="679"/>
    </row>
    <row r="61" spans="1:13" ht="15.75" thickBot="1" x14ac:dyDescent="0.3"/>
    <row r="62" spans="1:13" x14ac:dyDescent="0.25">
      <c r="B62" s="276" t="s">
        <v>68</v>
      </c>
      <c r="C62" s="279">
        <f t="shared" ref="C62:K62" si="5">C20+C36</f>
        <v>0</v>
      </c>
      <c r="D62" s="279">
        <f t="shared" si="5"/>
        <v>0</v>
      </c>
      <c r="E62" s="279">
        <f t="shared" si="5"/>
        <v>0</v>
      </c>
      <c r="F62" s="279">
        <f t="shared" si="5"/>
        <v>0</v>
      </c>
      <c r="G62" s="279">
        <f t="shared" si="5"/>
        <v>0</v>
      </c>
      <c r="H62" s="279">
        <f t="shared" si="5"/>
        <v>0</v>
      </c>
      <c r="I62" s="279">
        <f t="shared" si="5"/>
        <v>0</v>
      </c>
      <c r="J62" s="279">
        <f t="shared" si="5"/>
        <v>0</v>
      </c>
      <c r="K62" s="277">
        <f t="shared" si="5"/>
        <v>0</v>
      </c>
    </row>
    <row r="63" spans="1:13" x14ac:dyDescent="0.25">
      <c r="B63" s="278" t="s">
        <v>64</v>
      </c>
      <c r="C63" s="294">
        <f t="shared" ref="C63:K63" si="6">C8+C12+C24+C33+C37+C44</f>
        <v>2000000</v>
      </c>
      <c r="D63" s="294">
        <f t="shared" si="6"/>
        <v>2000000</v>
      </c>
      <c r="E63" s="294">
        <f t="shared" si="6"/>
        <v>1551480</v>
      </c>
      <c r="F63" s="294">
        <f t="shared" si="6"/>
        <v>100000</v>
      </c>
      <c r="G63" s="294">
        <f t="shared" si="6"/>
        <v>348520</v>
      </c>
      <c r="H63" s="294">
        <f t="shared" si="6"/>
        <v>2000000</v>
      </c>
      <c r="I63" s="294">
        <f t="shared" si="6"/>
        <v>1551480</v>
      </c>
      <c r="J63" s="294">
        <f t="shared" si="6"/>
        <v>100000</v>
      </c>
      <c r="K63" s="543">
        <f t="shared" si="6"/>
        <v>348520</v>
      </c>
    </row>
    <row r="64" spans="1:13" x14ac:dyDescent="0.25">
      <c r="B64" s="278" t="s">
        <v>65</v>
      </c>
      <c r="C64" s="12">
        <f t="shared" ref="C64:K64" si="7">C9+C13+C27+C30+C47+C50+C53+C56</f>
        <v>0</v>
      </c>
      <c r="D64" s="12">
        <f t="shared" si="7"/>
        <v>0</v>
      </c>
      <c r="E64" s="12">
        <f t="shared" si="7"/>
        <v>0</v>
      </c>
      <c r="F64" s="12">
        <f t="shared" si="7"/>
        <v>0</v>
      </c>
      <c r="G64" s="12">
        <f t="shared" si="7"/>
        <v>0</v>
      </c>
      <c r="H64" s="12">
        <f t="shared" si="7"/>
        <v>0</v>
      </c>
      <c r="I64" s="12">
        <f t="shared" si="7"/>
        <v>0</v>
      </c>
      <c r="J64" s="12">
        <f t="shared" si="7"/>
        <v>0</v>
      </c>
      <c r="K64" s="16">
        <f t="shared" si="7"/>
        <v>0</v>
      </c>
    </row>
    <row r="65" spans="2:12" x14ac:dyDescent="0.25">
      <c r="B65" s="278" t="s">
        <v>555</v>
      </c>
      <c r="C65" s="12">
        <f t="shared" ref="C65:K65" si="8">C16+C21+C40</f>
        <v>0</v>
      </c>
      <c r="D65" s="12">
        <f t="shared" si="8"/>
        <v>0</v>
      </c>
      <c r="E65" s="12">
        <f t="shared" si="8"/>
        <v>0</v>
      </c>
      <c r="F65" s="12">
        <f t="shared" si="8"/>
        <v>0</v>
      </c>
      <c r="G65" s="12">
        <f t="shared" si="8"/>
        <v>0</v>
      </c>
      <c r="H65" s="12">
        <f t="shared" si="8"/>
        <v>0</v>
      </c>
      <c r="I65" s="12">
        <f t="shared" si="8"/>
        <v>0</v>
      </c>
      <c r="J65" s="12">
        <f t="shared" si="8"/>
        <v>0</v>
      </c>
      <c r="K65" s="16">
        <f t="shared" si="8"/>
        <v>0</v>
      </c>
    </row>
    <row r="66" spans="2:12" x14ac:dyDescent="0.25">
      <c r="B66" s="278" t="s">
        <v>554</v>
      </c>
      <c r="C66" s="12">
        <f>C17+C41</f>
        <v>0</v>
      </c>
      <c r="D66" s="12">
        <f t="shared" ref="D66:K66" si="9">D17+D41</f>
        <v>0</v>
      </c>
      <c r="E66" s="12">
        <f t="shared" si="9"/>
        <v>0</v>
      </c>
      <c r="F66" s="12">
        <f t="shared" si="9"/>
        <v>0</v>
      </c>
      <c r="G66" s="12">
        <f t="shared" si="9"/>
        <v>0</v>
      </c>
      <c r="H66" s="12">
        <f t="shared" si="9"/>
        <v>0</v>
      </c>
      <c r="I66" s="12">
        <f t="shared" si="9"/>
        <v>0</v>
      </c>
      <c r="J66" s="12">
        <f t="shared" si="9"/>
        <v>0</v>
      </c>
      <c r="K66" s="12">
        <f t="shared" si="9"/>
        <v>0</v>
      </c>
    </row>
    <row r="67" spans="2:12" x14ac:dyDescent="0.25">
      <c r="B67" s="281" t="s">
        <v>67</v>
      </c>
      <c r="C67" s="12">
        <f t="shared" ref="C67:K67" si="10">C10+C14+C18+C22+C25+C28+C31+C34+C38+C42+C45+C48+C51+C54+C57+C58</f>
        <v>1089780.94</v>
      </c>
      <c r="D67" s="12">
        <f t="shared" si="10"/>
        <v>1089780.94</v>
      </c>
      <c r="E67" s="12">
        <f t="shared" si="10"/>
        <v>925899.68803440023</v>
      </c>
      <c r="F67" s="12">
        <f t="shared" si="10"/>
        <v>54489.046000000002</v>
      </c>
      <c r="G67" s="12">
        <f t="shared" si="10"/>
        <v>109392.20596559995</v>
      </c>
      <c r="H67" s="12">
        <f t="shared" si="10"/>
        <v>1089780.94</v>
      </c>
      <c r="I67" s="12">
        <f t="shared" si="10"/>
        <v>925899.67999999993</v>
      </c>
      <c r="J67" s="12">
        <f t="shared" si="10"/>
        <v>54489.039999999986</v>
      </c>
      <c r="K67" s="16">
        <f t="shared" si="10"/>
        <v>109392.21999999999</v>
      </c>
      <c r="L67" s="603"/>
    </row>
    <row r="68" spans="2:12" ht="15.75" thickBot="1" x14ac:dyDescent="0.25">
      <c r="B68" s="282" t="s">
        <v>625</v>
      </c>
      <c r="C68" s="18">
        <f t="shared" ref="C68:K68" si="11">SUM(C62:C67)</f>
        <v>3089780.94</v>
      </c>
      <c r="D68" s="18">
        <f t="shared" si="11"/>
        <v>3089780.94</v>
      </c>
      <c r="E68" s="18">
        <f t="shared" si="11"/>
        <v>2477379.6880344003</v>
      </c>
      <c r="F68" s="18">
        <f t="shared" si="11"/>
        <v>154489.046</v>
      </c>
      <c r="G68" s="18">
        <f t="shared" si="11"/>
        <v>457912.20596559998</v>
      </c>
      <c r="H68" s="18">
        <f t="shared" si="11"/>
        <v>3089780.94</v>
      </c>
      <c r="I68" s="18">
        <f t="shared" si="11"/>
        <v>2477379.6799999997</v>
      </c>
      <c r="J68" s="18">
        <f t="shared" si="11"/>
        <v>154489.03999999998</v>
      </c>
      <c r="K68" s="19">
        <f t="shared" si="11"/>
        <v>457912.22</v>
      </c>
    </row>
    <row r="69" spans="2:12" x14ac:dyDescent="0.25">
      <c r="C69" s="96">
        <f t="shared" ref="C69:K69" si="12">C6</f>
        <v>3089780.9400000009</v>
      </c>
      <c r="D69" s="96">
        <f t="shared" si="12"/>
        <v>3089780.94</v>
      </c>
      <c r="E69" s="96">
        <f t="shared" si="12"/>
        <v>2477379.6880343999</v>
      </c>
      <c r="F69" s="96">
        <f t="shared" si="12"/>
        <v>154489.046</v>
      </c>
      <c r="G69" s="96">
        <f t="shared" si="12"/>
        <v>457912.20596559998</v>
      </c>
      <c r="H69" s="96">
        <f t="shared" si="12"/>
        <v>3089780.9400000004</v>
      </c>
      <c r="I69" s="96">
        <f t="shared" si="12"/>
        <v>2477379.6800000006</v>
      </c>
      <c r="J69" s="96">
        <f t="shared" si="12"/>
        <v>154489.04</v>
      </c>
      <c r="K69" s="96">
        <f t="shared" si="12"/>
        <v>457912.21999999991</v>
      </c>
    </row>
    <row r="70" spans="2:12" x14ac:dyDescent="0.25">
      <c r="B70" s="96" t="s">
        <v>627</v>
      </c>
      <c r="C70" s="96">
        <f t="shared" ref="C70:K70" si="13">C68-C69</f>
        <v>0</v>
      </c>
      <c r="D70" s="96">
        <f t="shared" si="13"/>
        <v>0</v>
      </c>
      <c r="E70" s="96">
        <f t="shared" si="13"/>
        <v>0</v>
      </c>
      <c r="F70" s="96">
        <f t="shared" si="13"/>
        <v>0</v>
      </c>
      <c r="G70" s="96">
        <f t="shared" si="13"/>
        <v>0</v>
      </c>
      <c r="H70" s="96">
        <f t="shared" si="13"/>
        <v>0</v>
      </c>
      <c r="I70" s="96">
        <f t="shared" si="13"/>
        <v>0</v>
      </c>
      <c r="J70" s="96">
        <f t="shared" si="13"/>
        <v>0</v>
      </c>
      <c r="K70" s="96">
        <f t="shared" si="13"/>
        <v>0</v>
      </c>
    </row>
  </sheetData>
  <autoFilter ref="A7:M58"/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/>
  </sheetPr>
  <dimension ref="A1:M104"/>
  <sheetViews>
    <sheetView view="pageBreakPreview" zoomScale="70" zoomScaleNormal="75" zoomScaleSheetLayoutView="70" workbookViewId="0">
      <selection sqref="A1:L3"/>
    </sheetView>
  </sheetViews>
  <sheetFormatPr defaultColWidth="9.140625" defaultRowHeight="15" outlineLevelRow="1" x14ac:dyDescent="0.25"/>
  <cols>
    <col min="1" max="1" width="5.140625" style="25" customWidth="1"/>
    <col min="2" max="2" width="47.85546875" style="56" customWidth="1"/>
    <col min="3" max="3" width="15.7109375" style="71" customWidth="1"/>
    <col min="4" max="4" width="15.7109375" style="2" customWidth="1"/>
    <col min="5" max="5" width="16.85546875" style="2" customWidth="1"/>
    <col min="6" max="6" width="15.7109375" style="2" customWidth="1"/>
    <col min="7" max="7" width="15.85546875" style="220" customWidth="1"/>
    <col min="8" max="8" width="14.7109375" style="2" customWidth="1"/>
    <col min="9" max="9" width="16.28515625" style="2" customWidth="1"/>
    <col min="10" max="10" width="15.5703125" style="2" customWidth="1"/>
    <col min="11" max="11" width="15.7109375" style="2" customWidth="1"/>
    <col min="12" max="12" width="20.42578125" style="2" customWidth="1"/>
    <col min="13" max="16384" width="9.140625" style="2"/>
  </cols>
  <sheetData>
    <row r="1" spans="1:13" x14ac:dyDescent="0.25">
      <c r="A1" s="778" t="s">
        <v>887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807"/>
    </row>
    <row r="2" spans="1:13" x14ac:dyDescent="0.25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807"/>
    </row>
    <row r="3" spans="1:13" ht="15.7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807"/>
    </row>
    <row r="4" spans="1:13" s="25" customFormat="1" ht="32.25" customHeight="1" x14ac:dyDescent="0.25">
      <c r="A4" s="779" t="s">
        <v>0</v>
      </c>
      <c r="B4" s="749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</row>
    <row r="5" spans="1:13" s="25" customFormat="1" ht="52.5" customHeight="1" x14ac:dyDescent="0.25">
      <c r="A5" s="775"/>
      <c r="B5" s="781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</row>
    <row r="6" spans="1:13" ht="32.25" customHeight="1" x14ac:dyDescent="0.25">
      <c r="A6" s="211"/>
      <c r="B6" s="211" t="s">
        <v>21</v>
      </c>
      <c r="C6" s="94">
        <f>C7+C9+C11+C13+C16+C18+C21+C24+C27+C30+C33+C36+C38+C40+C42+C44+C47+C49+C52+C54+C57+C60+C63+C66+C69+C72+C74+C77+C80+C82+C85+C88+C91+C94+C97</f>
        <v>93444304.180000007</v>
      </c>
      <c r="D6" s="13">
        <f t="shared" ref="D6:D13" si="0">E6+F6+G6</f>
        <v>93444304.180000007</v>
      </c>
      <c r="E6" s="49">
        <f>E7+E9+E11+E13+E16+E18+E21+E24+E27+E30+E33+E36+E38+E40+E42+E44+E47+E49+E52+E54+E57+E60+E63+E66+E69+E72+E74+E77+E80+E82+E85+E88+E91+E94+E97</f>
        <v>84503269.033270776</v>
      </c>
      <c r="F6" s="49">
        <f>F7+F9+F11+F13+F16+F18+F21+F24+F27+F30+F33+F36+F38+F40+F42+F44+F47+F49+F52+F54+F57+F60+F63+F66+F69+F72+F74+F77+F80+F82+F85+F88+F91+F94+F97</f>
        <v>4672215.2109999992</v>
      </c>
      <c r="G6" s="50">
        <f>G7+G9+G11+G13+G16+G18+G21+G24+G27+G30+G33+G36+G38+G40+G42+G44+G47+G49+G52+G54+G57+G60+G63+G66+G69+G72+G74+G77+G80+G82+G85+G88+G91+G94+G97</f>
        <v>4268819.9357292391</v>
      </c>
      <c r="H6" s="21">
        <f t="shared" ref="H6:H13" si="1">I6+J6+K6</f>
        <v>93444304.180000007</v>
      </c>
      <c r="I6" s="49">
        <f>I7+I9+I11+I13+I16+I18+I21+I24+I27+I30+I33+I36+I38+I40+I42+I44+I47+I49+I52+I54+I57+I60+I63+I66+I69+I72+I74+I77+I80+I82+I85+I88+I91+I94+I97</f>
        <v>85315109.650000021</v>
      </c>
      <c r="J6" s="49">
        <f>J7+J9+J11+J13+J16+J18+J21+J24+J27+J30+J33+J36+J38+J40+J42+J44+J47+J49+J52+J54+J57+J60+J63+J66+J69+J72+J74+J77+J80+J82+J85+J88+J91+J94+J97</f>
        <v>4672215.209999999</v>
      </c>
      <c r="K6" s="49">
        <f>K7+K9+K11+K13+K16+K18+K21+K24+K27+K30+K33+K36+K38+K40+K42+K44+K47+K49+K52+K54+K57+K60+K63+K66+K69+K72+K74+K77+K80+K82+K85+K88+K91+K94+K97</f>
        <v>3456979.32</v>
      </c>
      <c r="L6" s="35"/>
    </row>
    <row r="7" spans="1:13" s="395" customFormat="1" ht="35.25" customHeight="1" x14ac:dyDescent="0.2">
      <c r="A7" s="391">
        <v>1</v>
      </c>
      <c r="B7" s="392" t="s">
        <v>277</v>
      </c>
      <c r="C7" s="290">
        <f>SUM(C8:C8)</f>
        <v>3668101.98</v>
      </c>
      <c r="D7" s="288">
        <f t="shared" si="0"/>
        <v>3668101.98</v>
      </c>
      <c r="E7" s="401">
        <f>SUM(E8:E8)</f>
        <v>3366892.1178103201</v>
      </c>
      <c r="F7" s="401">
        <f>SUM(F8:F8)</f>
        <v>183405.09900000002</v>
      </c>
      <c r="G7" s="514">
        <f>SUM(G8:G8)</f>
        <v>117804.76318967986</v>
      </c>
      <c r="H7" s="393">
        <f t="shared" si="1"/>
        <v>3668101.98</v>
      </c>
      <c r="I7" s="401">
        <f>SUM(I8:I8)</f>
        <v>3366891.94</v>
      </c>
      <c r="J7" s="401">
        <f>SUM(J8:J8)</f>
        <v>183405.1</v>
      </c>
      <c r="K7" s="402">
        <f>SUM(K8:K8)</f>
        <v>117804.94000000006</v>
      </c>
      <c r="L7" s="400"/>
    </row>
    <row r="8" spans="1:13" s="91" customFormat="1" outlineLevel="1" x14ac:dyDescent="0.25">
      <c r="A8" s="260"/>
      <c r="B8" s="261" t="s">
        <v>555</v>
      </c>
      <c r="C8" s="252">
        <f>3668101.98</f>
        <v>3668101.98</v>
      </c>
      <c r="D8" s="316">
        <f t="shared" si="0"/>
        <v>3668101.98</v>
      </c>
      <c r="E8" s="250">
        <f>C8*0.917884</f>
        <v>3366892.1178103201</v>
      </c>
      <c r="F8" s="250">
        <f>C8*5%</f>
        <v>183405.09900000002</v>
      </c>
      <c r="G8" s="251">
        <f>C8-E8-F8</f>
        <v>117804.76318967986</v>
      </c>
      <c r="H8" s="300">
        <f t="shared" si="1"/>
        <v>3668101.98</v>
      </c>
      <c r="I8" s="301">
        <f>2698255.82+668636.12</f>
        <v>3366891.94</v>
      </c>
      <c r="J8" s="301">
        <v>183405.1</v>
      </c>
      <c r="K8" s="248">
        <f>786441.06-668636.12</f>
        <v>117804.94000000006</v>
      </c>
      <c r="L8" s="271" t="s">
        <v>700</v>
      </c>
      <c r="M8" s="91">
        <f>I8/H8</f>
        <v>0.91788395152525171</v>
      </c>
    </row>
    <row r="9" spans="1:13" s="395" customFormat="1" ht="33" customHeight="1" x14ac:dyDescent="0.2">
      <c r="A9" s="391">
        <v>2</v>
      </c>
      <c r="B9" s="392" t="s">
        <v>275</v>
      </c>
      <c r="C9" s="290">
        <f>SUM(C10:C10)</f>
        <v>4028144.76</v>
      </c>
      <c r="D9" s="288">
        <f t="shared" si="0"/>
        <v>4028144.76</v>
      </c>
      <c r="E9" s="401">
        <f>SUM(E10:E10)</f>
        <v>2963103.28</v>
      </c>
      <c r="F9" s="401">
        <f>SUM(F10:F10)</f>
        <v>201407.24000000002</v>
      </c>
      <c r="G9" s="514">
        <f>SUM(G10:G10)</f>
        <v>863634.24</v>
      </c>
      <c r="H9" s="393">
        <f t="shared" si="1"/>
        <v>4028144.7600000002</v>
      </c>
      <c r="I9" s="401">
        <f>SUM(I10:I10)</f>
        <v>3697369.42</v>
      </c>
      <c r="J9" s="401">
        <f>SUM(J10:J10)</f>
        <v>201407.24000000002</v>
      </c>
      <c r="K9" s="402">
        <f>SUM(K10:K10)</f>
        <v>129368.09999999998</v>
      </c>
      <c r="L9" s="400"/>
    </row>
    <row r="10" spans="1:13" s="91" customFormat="1" outlineLevel="1" x14ac:dyDescent="0.25">
      <c r="A10" s="260"/>
      <c r="B10" s="261" t="s">
        <v>555</v>
      </c>
      <c r="C10" s="252">
        <v>4028144.76</v>
      </c>
      <c r="D10" s="316">
        <f t="shared" si="0"/>
        <v>4028144.76</v>
      </c>
      <c r="E10" s="250">
        <v>2963103.28</v>
      </c>
      <c r="F10" s="250">
        <v>201407.24000000002</v>
      </c>
      <c r="G10" s="251">
        <v>863634.24</v>
      </c>
      <c r="H10" s="300">
        <f t="shared" si="1"/>
        <v>4028144.7600000002</v>
      </c>
      <c r="I10" s="301">
        <f>2963103.28+734266.14</f>
        <v>3697369.42</v>
      </c>
      <c r="J10" s="301">
        <v>201407.24000000002</v>
      </c>
      <c r="K10" s="248">
        <f>863634.24-734266.14</f>
        <v>129368.09999999998</v>
      </c>
      <c r="L10" s="271" t="s">
        <v>700</v>
      </c>
      <c r="M10" s="91">
        <f>I10/H10</f>
        <v>0.91788394913592919</v>
      </c>
    </row>
    <row r="11" spans="1:13" s="395" customFormat="1" ht="29.25" customHeight="1" x14ac:dyDescent="0.2">
      <c r="A11" s="391">
        <v>3</v>
      </c>
      <c r="B11" s="392" t="s">
        <v>276</v>
      </c>
      <c r="C11" s="290">
        <f>SUM(C12:C12)</f>
        <v>3416907.12</v>
      </c>
      <c r="D11" s="288">
        <f t="shared" si="0"/>
        <v>3416907.12</v>
      </c>
      <c r="E11" s="401">
        <f>SUM(E12:E12)</f>
        <v>3136324.3749340801</v>
      </c>
      <c r="F11" s="401">
        <f>SUM(F12:F12)</f>
        <v>170845.35600000003</v>
      </c>
      <c r="G11" s="514">
        <f>SUM(G12:G12)</f>
        <v>109737.38906592003</v>
      </c>
      <c r="H11" s="393">
        <f t="shared" si="1"/>
        <v>3416907.12</v>
      </c>
      <c r="I11" s="401">
        <f>SUM(I12:I12)</f>
        <v>3136324.21</v>
      </c>
      <c r="J11" s="401">
        <f>SUM(J12:J12)</f>
        <v>170845.35</v>
      </c>
      <c r="K11" s="402">
        <f>SUM(K12:K12)</f>
        <v>109737.56000000006</v>
      </c>
      <c r="L11" s="400"/>
    </row>
    <row r="12" spans="1:13" s="91" customFormat="1" outlineLevel="1" x14ac:dyDescent="0.25">
      <c r="A12" s="260"/>
      <c r="B12" s="261" t="s">
        <v>555</v>
      </c>
      <c r="C12" s="252">
        <f>3416907.12</f>
        <v>3416907.12</v>
      </c>
      <c r="D12" s="316">
        <f t="shared" si="0"/>
        <v>3416907.12</v>
      </c>
      <c r="E12" s="250">
        <f>C12*0.917884</f>
        <v>3136324.3749340801</v>
      </c>
      <c r="F12" s="250">
        <f>C12*5%</f>
        <v>170845.35600000003</v>
      </c>
      <c r="G12" s="251">
        <f>C12-E12-F12</f>
        <v>109737.38906592003</v>
      </c>
      <c r="H12" s="300">
        <f t="shared" si="1"/>
        <v>3416907.12</v>
      </c>
      <c r="I12" s="301">
        <f>2513476.88+622847.33</f>
        <v>3136324.21</v>
      </c>
      <c r="J12" s="301">
        <v>170845.35</v>
      </c>
      <c r="K12" s="248">
        <f>732584.89-622847.33</f>
        <v>109737.56000000006</v>
      </c>
      <c r="L12" s="271" t="s">
        <v>700</v>
      </c>
      <c r="M12" s="91">
        <f>I12/H12</f>
        <v>0.91788395173000781</v>
      </c>
    </row>
    <row r="13" spans="1:13" s="9" customFormat="1" ht="27" customHeight="1" x14ac:dyDescent="0.2">
      <c r="A13" s="193">
        <v>4</v>
      </c>
      <c r="B13" s="60" t="s">
        <v>573</v>
      </c>
      <c r="C13" s="63">
        <f>SUM(C14:C15)</f>
        <v>78871.520000000004</v>
      </c>
      <c r="D13" s="40">
        <f t="shared" si="0"/>
        <v>78871.520000000004</v>
      </c>
      <c r="E13" s="75">
        <f>SUM(E14:E15)</f>
        <v>58017.890112000008</v>
      </c>
      <c r="F13" s="75">
        <f>SUM(F14:F15)</f>
        <v>3943.5760000000005</v>
      </c>
      <c r="G13" s="80">
        <f>SUM(G14:G15)</f>
        <v>16910.053887999995</v>
      </c>
      <c r="H13" s="13">
        <f t="shared" si="1"/>
        <v>78871.520000000004</v>
      </c>
      <c r="I13" s="44">
        <f>SUM(I14:I15)</f>
        <v>58017.89</v>
      </c>
      <c r="J13" s="44">
        <f>SUM(J14:J15)</f>
        <v>3943.58</v>
      </c>
      <c r="K13" s="297">
        <f>SUM(K14:K15)</f>
        <v>16910.05</v>
      </c>
      <c r="L13" s="35"/>
    </row>
    <row r="14" spans="1:13" outlineLevel="1" x14ac:dyDescent="0.25">
      <c r="A14" s="10"/>
      <c r="B14" s="43" t="s">
        <v>555</v>
      </c>
      <c r="C14" s="47"/>
      <c r="D14" s="42">
        <f>SUM(E14:G14)</f>
        <v>0</v>
      </c>
      <c r="E14" s="72"/>
      <c r="F14" s="72"/>
      <c r="G14" s="92"/>
      <c r="H14" s="29"/>
      <c r="I14" s="12"/>
      <c r="J14" s="12"/>
      <c r="K14" s="16"/>
      <c r="L14" s="28"/>
    </row>
    <row r="15" spans="1:13" s="91" customFormat="1" outlineLevel="1" x14ac:dyDescent="0.25">
      <c r="A15" s="260"/>
      <c r="B15" s="261" t="s">
        <v>67</v>
      </c>
      <c r="C15" s="252">
        <v>78871.520000000004</v>
      </c>
      <c r="D15" s="249">
        <f>SUM(E15:G15)</f>
        <v>78871.520000000004</v>
      </c>
      <c r="E15" s="250">
        <f>C15*0.7356</f>
        <v>58017.890112000008</v>
      </c>
      <c r="F15" s="250">
        <f>C15*5%</f>
        <v>3943.5760000000005</v>
      </c>
      <c r="G15" s="251">
        <f>C15-E15-F15</f>
        <v>16910.053887999995</v>
      </c>
      <c r="H15" s="300">
        <f>I15+J15+K15</f>
        <v>78871.520000000004</v>
      </c>
      <c r="I15" s="301">
        <v>58017.89</v>
      </c>
      <c r="J15" s="301">
        <v>3943.58</v>
      </c>
      <c r="K15" s="248">
        <v>16910.05</v>
      </c>
      <c r="L15" s="271" t="s">
        <v>633</v>
      </c>
    </row>
    <row r="16" spans="1:13" s="395" customFormat="1" ht="28.5" customHeight="1" x14ac:dyDescent="0.2">
      <c r="A16" s="391">
        <v>5</v>
      </c>
      <c r="B16" s="392" t="s">
        <v>278</v>
      </c>
      <c r="C16" s="290">
        <f>SUM(C17:C17)</f>
        <v>3810872.48</v>
      </c>
      <c r="D16" s="288">
        <f>E16+F16+G16</f>
        <v>3810872.48</v>
      </c>
      <c r="E16" s="289">
        <f>SUM(E17:E17)</f>
        <v>3497938.8754323199</v>
      </c>
      <c r="F16" s="289">
        <f>SUM(F17:F17)</f>
        <v>190543.62400000001</v>
      </c>
      <c r="G16" s="399">
        <f>SUM(G17:G17)</f>
        <v>122389.98056768003</v>
      </c>
      <c r="H16" s="393">
        <f>I16+J16+K16</f>
        <v>3810872.48</v>
      </c>
      <c r="I16" s="401">
        <f>SUM(I17:I17)</f>
        <v>3497938.69</v>
      </c>
      <c r="J16" s="401">
        <f>SUM(J17:J17)</f>
        <v>190543.62</v>
      </c>
      <c r="K16" s="402">
        <f>SUM(K17:K17)</f>
        <v>122390.17000000004</v>
      </c>
      <c r="L16" s="400"/>
    </row>
    <row r="17" spans="1:13" s="91" customFormat="1" outlineLevel="1" x14ac:dyDescent="0.25">
      <c r="A17" s="260"/>
      <c r="B17" s="261" t="s">
        <v>555</v>
      </c>
      <c r="C17" s="252">
        <f>3480208.16+330664.32</f>
        <v>3810872.48</v>
      </c>
      <c r="D17" s="316">
        <f>E17+F17+G17</f>
        <v>3810872.48</v>
      </c>
      <c r="E17" s="250">
        <f>C17*0.917884</f>
        <v>3497938.8754323199</v>
      </c>
      <c r="F17" s="250">
        <f>C17*5%</f>
        <v>190543.62400000001</v>
      </c>
      <c r="G17" s="251">
        <f>C17-E17-F17</f>
        <v>122389.98056768003</v>
      </c>
      <c r="H17" s="300">
        <f>I17+J17+K17</f>
        <v>3810872.48</v>
      </c>
      <c r="I17" s="301">
        <f>2803277.8+694660.89</f>
        <v>3497938.69</v>
      </c>
      <c r="J17" s="301">
        <v>190543.62</v>
      </c>
      <c r="K17" s="248">
        <f>817051.06-694660.89</f>
        <v>122390.17000000004</v>
      </c>
      <c r="L17" s="271" t="s">
        <v>665</v>
      </c>
      <c r="M17" s="91">
        <f>I17/H17</f>
        <v>0.91788395134124245</v>
      </c>
    </row>
    <row r="18" spans="1:13" s="9" customFormat="1" ht="27" customHeight="1" x14ac:dyDescent="0.2">
      <c r="A18" s="193">
        <v>6</v>
      </c>
      <c r="B18" s="60" t="s">
        <v>574</v>
      </c>
      <c r="C18" s="63">
        <f>SUM(C19:C20)</f>
        <v>74309.5</v>
      </c>
      <c r="D18" s="40">
        <f>E18+F18+G18</f>
        <v>74309.5</v>
      </c>
      <c r="E18" s="75">
        <f>SUM(E19:E20)</f>
        <v>54662.068200000002</v>
      </c>
      <c r="F18" s="75">
        <f>SUM(F19:F20)</f>
        <v>3715.4750000000004</v>
      </c>
      <c r="G18" s="80">
        <f>SUM(G19:G20)</f>
        <v>15931.956799999998</v>
      </c>
      <c r="H18" s="13">
        <f>I18+J18+K18</f>
        <v>74309.5</v>
      </c>
      <c r="I18" s="44">
        <f>SUM(I19:I20)</f>
        <v>54662.06</v>
      </c>
      <c r="J18" s="44">
        <f>SUM(J19:J20)</f>
        <v>3715.48</v>
      </c>
      <c r="K18" s="297">
        <f>SUM(K19:K20)</f>
        <v>15931.96</v>
      </c>
      <c r="L18" s="35"/>
    </row>
    <row r="19" spans="1:13" outlineLevel="1" x14ac:dyDescent="0.25">
      <c r="A19" s="10"/>
      <c r="B19" s="43" t="s">
        <v>555</v>
      </c>
      <c r="C19" s="47"/>
      <c r="D19" s="42">
        <f>SUM(E19:G19)</f>
        <v>0</v>
      </c>
      <c r="E19" s="72"/>
      <c r="F19" s="72"/>
      <c r="G19" s="92"/>
      <c r="H19" s="29"/>
      <c r="I19" s="12"/>
      <c r="J19" s="12"/>
      <c r="K19" s="16"/>
      <c r="L19" s="28"/>
    </row>
    <row r="20" spans="1:13" s="91" customFormat="1" outlineLevel="1" x14ac:dyDescent="0.25">
      <c r="A20" s="260"/>
      <c r="B20" s="261" t="s">
        <v>67</v>
      </c>
      <c r="C20" s="252">
        <v>74309.5</v>
      </c>
      <c r="D20" s="249">
        <f>SUM(E20:G20)</f>
        <v>74309.5</v>
      </c>
      <c r="E20" s="250">
        <f>C20*0.7356</f>
        <v>54662.068200000002</v>
      </c>
      <c r="F20" s="250">
        <f>C20*5%</f>
        <v>3715.4750000000004</v>
      </c>
      <c r="G20" s="251">
        <f>C20-E20-F20</f>
        <v>15931.956799999998</v>
      </c>
      <c r="H20" s="300">
        <f>I20+J20+K20</f>
        <v>74309.5</v>
      </c>
      <c r="I20" s="301">
        <v>54662.06</v>
      </c>
      <c r="J20" s="301">
        <v>3715.48</v>
      </c>
      <c r="K20" s="248">
        <v>15931.96</v>
      </c>
      <c r="L20" s="271" t="s">
        <v>633</v>
      </c>
    </row>
    <row r="21" spans="1:13" s="9" customFormat="1" ht="30.75" customHeight="1" x14ac:dyDescent="0.2">
      <c r="A21" s="193">
        <v>7</v>
      </c>
      <c r="B21" s="60" t="s">
        <v>575</v>
      </c>
      <c r="C21" s="63">
        <f>SUM(C22:C23)</f>
        <v>49533.41</v>
      </c>
      <c r="D21" s="40">
        <f>E21+F21+G21</f>
        <v>49533.41</v>
      </c>
      <c r="E21" s="75">
        <f>SUM(E22:E23)</f>
        <v>36436.776396000001</v>
      </c>
      <c r="F21" s="75">
        <f>SUM(F22:F23)</f>
        <v>2476.6705000000002</v>
      </c>
      <c r="G21" s="80">
        <f>SUM(G22:G23)</f>
        <v>10619.963104000002</v>
      </c>
      <c r="H21" s="13">
        <f>I21+J21+K21</f>
        <v>49533.409999999996</v>
      </c>
      <c r="I21" s="44">
        <f>SUM(I22:I23)</f>
        <v>36436.78</v>
      </c>
      <c r="J21" s="44">
        <f>SUM(J22:J23)</f>
        <v>2476.67</v>
      </c>
      <c r="K21" s="297">
        <f>SUM(K22:K23)</f>
        <v>10619.96</v>
      </c>
      <c r="L21" s="35"/>
    </row>
    <row r="22" spans="1:13" outlineLevel="1" x14ac:dyDescent="0.25">
      <c r="A22" s="10"/>
      <c r="B22" s="43" t="s">
        <v>555</v>
      </c>
      <c r="C22" s="47"/>
      <c r="D22" s="42">
        <f>SUM(E22:G22)</f>
        <v>0</v>
      </c>
      <c r="E22" s="72"/>
      <c r="F22" s="72"/>
      <c r="G22" s="92"/>
      <c r="H22" s="29"/>
      <c r="I22" s="12"/>
      <c r="J22" s="12"/>
      <c r="K22" s="16"/>
      <c r="L22" s="28"/>
    </row>
    <row r="23" spans="1:13" s="91" customFormat="1" outlineLevel="1" x14ac:dyDescent="0.25">
      <c r="A23" s="260"/>
      <c r="B23" s="261" t="s">
        <v>67</v>
      </c>
      <c r="C23" s="252">
        <v>49533.41</v>
      </c>
      <c r="D23" s="249">
        <f>SUM(E23:G23)</f>
        <v>49533.41</v>
      </c>
      <c r="E23" s="250">
        <f>C23*0.7356</f>
        <v>36436.776396000001</v>
      </c>
      <c r="F23" s="250">
        <f>C23*5%</f>
        <v>2476.6705000000002</v>
      </c>
      <c r="G23" s="251">
        <f>C23-E23-F23</f>
        <v>10619.963104000002</v>
      </c>
      <c r="H23" s="300">
        <f>I23+J23+K23</f>
        <v>49533.409999999996</v>
      </c>
      <c r="I23" s="301">
        <v>36436.78</v>
      </c>
      <c r="J23" s="301">
        <v>2476.67</v>
      </c>
      <c r="K23" s="248">
        <v>10619.96</v>
      </c>
      <c r="L23" s="271" t="s">
        <v>633</v>
      </c>
    </row>
    <row r="24" spans="1:13" s="9" customFormat="1" ht="27.75" customHeight="1" x14ac:dyDescent="0.2">
      <c r="A24" s="193">
        <v>8</v>
      </c>
      <c r="B24" s="60" t="s">
        <v>576</v>
      </c>
      <c r="C24" s="63">
        <f>SUM(C25:C26)</f>
        <v>77557.27</v>
      </c>
      <c r="D24" s="40">
        <f>E24+F24+G24</f>
        <v>77557.27</v>
      </c>
      <c r="E24" s="75">
        <f>SUM(E25:E26)</f>
        <v>57051.127812000006</v>
      </c>
      <c r="F24" s="75">
        <f>SUM(F25:F26)</f>
        <v>3877.8635000000004</v>
      </c>
      <c r="G24" s="80">
        <f>SUM(G25:G26)</f>
        <v>16628.278687999999</v>
      </c>
      <c r="H24" s="13">
        <f>I24+J24+K24</f>
        <v>77557.26999999999</v>
      </c>
      <c r="I24" s="44">
        <f>SUM(I25:I26)</f>
        <v>57051.13</v>
      </c>
      <c r="J24" s="44">
        <f>SUM(J25:J26)</f>
        <v>3877.86</v>
      </c>
      <c r="K24" s="297">
        <f>SUM(K25:K26)</f>
        <v>16628.28</v>
      </c>
      <c r="L24" s="35"/>
    </row>
    <row r="25" spans="1:13" outlineLevel="1" x14ac:dyDescent="0.25">
      <c r="A25" s="10"/>
      <c r="B25" s="43" t="s">
        <v>555</v>
      </c>
      <c r="C25" s="47"/>
      <c r="D25" s="42">
        <f>SUM(E25:G25)</f>
        <v>0</v>
      </c>
      <c r="E25" s="72"/>
      <c r="F25" s="72"/>
      <c r="G25" s="92"/>
      <c r="H25" s="29"/>
      <c r="I25" s="12"/>
      <c r="J25" s="12"/>
      <c r="K25" s="16"/>
      <c r="L25" s="28"/>
    </row>
    <row r="26" spans="1:13" s="91" customFormat="1" outlineLevel="1" x14ac:dyDescent="0.25">
      <c r="A26" s="260"/>
      <c r="B26" s="261" t="s">
        <v>67</v>
      </c>
      <c r="C26" s="252">
        <v>77557.27</v>
      </c>
      <c r="D26" s="249">
        <f>SUM(E26:G26)</f>
        <v>77557.27</v>
      </c>
      <c r="E26" s="250">
        <f>C26*0.7356</f>
        <v>57051.127812000006</v>
      </c>
      <c r="F26" s="250">
        <f>C26*5%</f>
        <v>3877.8635000000004</v>
      </c>
      <c r="G26" s="251">
        <f>C26-E26-F26</f>
        <v>16628.278687999999</v>
      </c>
      <c r="H26" s="300">
        <f>I26+J26+K26</f>
        <v>77557.26999999999</v>
      </c>
      <c r="I26" s="301">
        <v>57051.13</v>
      </c>
      <c r="J26" s="301">
        <v>3877.86</v>
      </c>
      <c r="K26" s="248">
        <v>16628.28</v>
      </c>
      <c r="L26" s="271" t="s">
        <v>633</v>
      </c>
    </row>
    <row r="27" spans="1:13" s="9" customFormat="1" ht="27" customHeight="1" x14ac:dyDescent="0.2">
      <c r="A27" s="193">
        <v>9</v>
      </c>
      <c r="B27" s="60" t="s">
        <v>577</v>
      </c>
      <c r="C27" s="63">
        <f>SUM(C28:C29)</f>
        <v>66457.679999999993</v>
      </c>
      <c r="D27" s="40">
        <f>E27+F27+G27</f>
        <v>66457.679999999993</v>
      </c>
      <c r="E27" s="75">
        <f>SUM(E28:E29)</f>
        <v>48886.269408</v>
      </c>
      <c r="F27" s="75">
        <f>SUM(F28:F29)</f>
        <v>3322.884</v>
      </c>
      <c r="G27" s="80">
        <f>SUM(G28:G29)</f>
        <v>14248.526591999993</v>
      </c>
      <c r="H27" s="13">
        <f>I27+J27+K27</f>
        <v>66457.679999999993</v>
      </c>
      <c r="I27" s="44">
        <f>SUM(I28:I29)</f>
        <v>48886.27</v>
      </c>
      <c r="J27" s="44">
        <f>SUM(J28:J29)</f>
        <v>3322.88</v>
      </c>
      <c r="K27" s="297">
        <f>SUM(K28:K29)</f>
        <v>14248.53</v>
      </c>
      <c r="L27" s="35"/>
    </row>
    <row r="28" spans="1:13" outlineLevel="1" x14ac:dyDescent="0.25">
      <c r="A28" s="10"/>
      <c r="B28" s="43" t="s">
        <v>555</v>
      </c>
      <c r="C28" s="47"/>
      <c r="D28" s="42">
        <f>SUM(E28:G28)</f>
        <v>0</v>
      </c>
      <c r="E28" s="72"/>
      <c r="F28" s="72"/>
      <c r="G28" s="92"/>
      <c r="H28" s="29"/>
      <c r="I28" s="12"/>
      <c r="J28" s="12"/>
      <c r="K28" s="16"/>
      <c r="L28" s="28"/>
    </row>
    <row r="29" spans="1:13" s="91" customFormat="1" outlineLevel="1" x14ac:dyDescent="0.25">
      <c r="A29" s="260"/>
      <c r="B29" s="261" t="s">
        <v>67</v>
      </c>
      <c r="C29" s="252">
        <v>66457.679999999993</v>
      </c>
      <c r="D29" s="249">
        <f>SUM(E29:G29)</f>
        <v>66457.679999999993</v>
      </c>
      <c r="E29" s="250">
        <f>C29*0.7356</f>
        <v>48886.269408</v>
      </c>
      <c r="F29" s="250">
        <f>C29*5%</f>
        <v>3322.884</v>
      </c>
      <c r="G29" s="251">
        <f>C29-E29-F29</f>
        <v>14248.526591999993</v>
      </c>
      <c r="H29" s="300">
        <f>I29+J29+K29</f>
        <v>66457.679999999993</v>
      </c>
      <c r="I29" s="301">
        <v>48886.27</v>
      </c>
      <c r="J29" s="301">
        <v>3322.88</v>
      </c>
      <c r="K29" s="248">
        <v>14248.53</v>
      </c>
      <c r="L29" s="271" t="s">
        <v>633</v>
      </c>
    </row>
    <row r="30" spans="1:13" s="9" customFormat="1" ht="32.25" customHeight="1" x14ac:dyDescent="0.2">
      <c r="A30" s="193">
        <v>10</v>
      </c>
      <c r="B30" s="60" t="s">
        <v>296</v>
      </c>
      <c r="C30" s="63">
        <f>SUM(C31:C32)</f>
        <v>69661.11</v>
      </c>
      <c r="D30" s="40">
        <f>E30+F30+G30</f>
        <v>69661.11</v>
      </c>
      <c r="E30" s="75">
        <f>SUM(E31:E32)</f>
        <v>51242.712516</v>
      </c>
      <c r="F30" s="75">
        <f>SUM(F31:F32)</f>
        <v>3483.0555000000004</v>
      </c>
      <c r="G30" s="80">
        <f>SUM(G31:G32)</f>
        <v>14935.341984000001</v>
      </c>
      <c r="H30" s="13">
        <f>I30+J30+K30</f>
        <v>69661.11</v>
      </c>
      <c r="I30" s="44">
        <f>SUM(I31:I32)</f>
        <v>51242.71</v>
      </c>
      <c r="J30" s="44">
        <f>SUM(J31:J32)</f>
        <v>3483.06</v>
      </c>
      <c r="K30" s="297">
        <f>SUM(K31:K32)</f>
        <v>14935.34</v>
      </c>
      <c r="L30" s="35"/>
    </row>
    <row r="31" spans="1:13" outlineLevel="1" x14ac:dyDescent="0.25">
      <c r="A31" s="10"/>
      <c r="B31" s="43" t="s">
        <v>555</v>
      </c>
      <c r="C31" s="47"/>
      <c r="D31" s="42">
        <f>SUM(E31:G31)</f>
        <v>0</v>
      </c>
      <c r="E31" s="72"/>
      <c r="F31" s="72"/>
      <c r="G31" s="92"/>
      <c r="H31" s="29"/>
      <c r="I31" s="12"/>
      <c r="J31" s="12"/>
      <c r="K31" s="16"/>
      <c r="L31" s="28"/>
    </row>
    <row r="32" spans="1:13" s="91" customFormat="1" outlineLevel="1" x14ac:dyDescent="0.25">
      <c r="A32" s="260"/>
      <c r="B32" s="261" t="s">
        <v>67</v>
      </c>
      <c r="C32" s="252">
        <v>69661.11</v>
      </c>
      <c r="D32" s="249">
        <f>SUM(E32:G32)</f>
        <v>69661.11</v>
      </c>
      <c r="E32" s="250">
        <f>C32*0.7356</f>
        <v>51242.712516</v>
      </c>
      <c r="F32" s="250">
        <f>C32*5%</f>
        <v>3483.0555000000004</v>
      </c>
      <c r="G32" s="251">
        <f>C32-E32-F32</f>
        <v>14935.341984000001</v>
      </c>
      <c r="H32" s="300">
        <f>I32+J32+K32</f>
        <v>69661.11</v>
      </c>
      <c r="I32" s="301">
        <v>51242.71</v>
      </c>
      <c r="J32" s="301">
        <v>3483.06</v>
      </c>
      <c r="K32" s="248">
        <v>14935.34</v>
      </c>
      <c r="L32" s="271" t="s">
        <v>633</v>
      </c>
    </row>
    <row r="33" spans="1:13" s="9" customFormat="1" ht="28.5" customHeight="1" x14ac:dyDescent="0.2">
      <c r="A33" s="193">
        <v>11</v>
      </c>
      <c r="B33" s="60" t="s">
        <v>298</v>
      </c>
      <c r="C33" s="63">
        <f>SUM(C34:C35)</f>
        <v>66546.179999999993</v>
      </c>
      <c r="D33" s="40">
        <f>E33+F33+G33</f>
        <v>66546.179999999993</v>
      </c>
      <c r="E33" s="75">
        <f>SUM(E34:E35)</f>
        <v>48951.370007999998</v>
      </c>
      <c r="F33" s="75">
        <f>SUM(F34:F35)</f>
        <v>3327.3089999999997</v>
      </c>
      <c r="G33" s="80">
        <f>SUM(G34:G35)</f>
        <v>14267.500991999996</v>
      </c>
      <c r="H33" s="13">
        <f>I33+J33+K33</f>
        <v>66546.179999999993</v>
      </c>
      <c r="I33" s="44">
        <f>SUM(I34:I35)</f>
        <v>48951.37</v>
      </c>
      <c r="J33" s="44">
        <f>SUM(J34:J35)</f>
        <v>3327.31</v>
      </c>
      <c r="K33" s="297">
        <f>SUM(K34:K35)</f>
        <v>14267.5</v>
      </c>
      <c r="L33" s="35"/>
    </row>
    <row r="34" spans="1:13" outlineLevel="1" x14ac:dyDescent="0.25">
      <c r="A34" s="10"/>
      <c r="B34" s="43" t="s">
        <v>555</v>
      </c>
      <c r="C34" s="47"/>
      <c r="D34" s="42">
        <f>SUM(E34:G34)</f>
        <v>0</v>
      </c>
      <c r="E34" s="72"/>
      <c r="F34" s="72"/>
      <c r="G34" s="92"/>
      <c r="H34" s="29"/>
      <c r="I34" s="12"/>
      <c r="J34" s="12"/>
      <c r="K34" s="16"/>
      <c r="L34" s="28"/>
    </row>
    <row r="35" spans="1:13" s="91" customFormat="1" outlineLevel="1" x14ac:dyDescent="0.25">
      <c r="A35" s="260"/>
      <c r="B35" s="261" t="s">
        <v>67</v>
      </c>
      <c r="C35" s="252">
        <v>66546.179999999993</v>
      </c>
      <c r="D35" s="249">
        <f>SUM(E35:G35)</f>
        <v>66546.179999999993</v>
      </c>
      <c r="E35" s="250">
        <f>C35*0.7356</f>
        <v>48951.370007999998</v>
      </c>
      <c r="F35" s="250">
        <f>C35*5%</f>
        <v>3327.3089999999997</v>
      </c>
      <c r="G35" s="251">
        <f>C35-E35-F35</f>
        <v>14267.500991999996</v>
      </c>
      <c r="H35" s="300">
        <f t="shared" ref="H35:H42" si="2">I35+J35+K35</f>
        <v>66546.179999999993</v>
      </c>
      <c r="I35" s="301">
        <v>48951.37</v>
      </c>
      <c r="J35" s="301">
        <v>3327.31</v>
      </c>
      <c r="K35" s="248">
        <v>14267.5</v>
      </c>
      <c r="L35" s="271" t="s">
        <v>633</v>
      </c>
    </row>
    <row r="36" spans="1:13" s="395" customFormat="1" ht="29.25" customHeight="1" x14ac:dyDescent="0.2">
      <c r="A36" s="391">
        <v>12</v>
      </c>
      <c r="B36" s="392" t="s">
        <v>279</v>
      </c>
      <c r="C36" s="290">
        <f>SUM(C37:C37)</f>
        <v>8189601.4100000001</v>
      </c>
      <c r="D36" s="288">
        <f t="shared" ref="D36:D42" si="3">E36+F36+G36</f>
        <v>8189601.4100000001</v>
      </c>
      <c r="E36" s="289">
        <f>SUM(E37:E37)</f>
        <v>7517104.1006164402</v>
      </c>
      <c r="F36" s="289">
        <f>SUM(F37:F37)</f>
        <v>409480.07050000003</v>
      </c>
      <c r="G36" s="399">
        <f>SUM(G37:G37)</f>
        <v>263017.23888355994</v>
      </c>
      <c r="H36" s="393">
        <f t="shared" si="2"/>
        <v>8189601.4100000001</v>
      </c>
      <c r="I36" s="401">
        <f>SUM(I37:I37)</f>
        <v>7517103.6899999995</v>
      </c>
      <c r="J36" s="401">
        <f>SUM(J37:J37)</f>
        <v>409480.07</v>
      </c>
      <c r="K36" s="402">
        <f>SUM(K37:K37)</f>
        <v>263017.65000000014</v>
      </c>
      <c r="L36" s="400"/>
    </row>
    <row r="37" spans="1:13" s="91" customFormat="1" outlineLevel="1" x14ac:dyDescent="0.25">
      <c r="A37" s="260"/>
      <c r="B37" s="261" t="s">
        <v>555</v>
      </c>
      <c r="C37" s="252">
        <v>8189601.4100000001</v>
      </c>
      <c r="D37" s="316">
        <f t="shared" si="3"/>
        <v>8189601.4100000001</v>
      </c>
      <c r="E37" s="250">
        <f>C37*0.917884</f>
        <v>7517104.1006164402</v>
      </c>
      <c r="F37" s="250">
        <f>C37*5%</f>
        <v>409480.07050000003</v>
      </c>
      <c r="G37" s="251">
        <f>C37-E37-F37</f>
        <v>263017.23888355994</v>
      </c>
      <c r="H37" s="300">
        <f t="shared" si="2"/>
        <v>8189601.4100000001</v>
      </c>
      <c r="I37" s="301">
        <f>6024270.8+1492832.89</f>
        <v>7517103.6899999995</v>
      </c>
      <c r="J37" s="301">
        <v>409480.07</v>
      </c>
      <c r="K37" s="248">
        <f>1755850.54-1492832.89</f>
        <v>263017.65000000014</v>
      </c>
      <c r="L37" s="271" t="s">
        <v>682</v>
      </c>
      <c r="M37" s="91">
        <f>I37/H37</f>
        <v>0.91788394986124233</v>
      </c>
    </row>
    <row r="38" spans="1:13" s="395" customFormat="1" ht="27.75" customHeight="1" x14ac:dyDescent="0.2">
      <c r="A38" s="391">
        <v>13</v>
      </c>
      <c r="B38" s="392" t="s">
        <v>280</v>
      </c>
      <c r="C38" s="290">
        <f>SUM(C39:C39)</f>
        <v>2722016.6399999997</v>
      </c>
      <c r="D38" s="288">
        <f t="shared" si="3"/>
        <v>2722016.6399999997</v>
      </c>
      <c r="E38" s="289">
        <f>SUM(E39:E39)</f>
        <v>2498495.5215897597</v>
      </c>
      <c r="F38" s="289">
        <f>SUM(F39:F39)</f>
        <v>136100.83199999999</v>
      </c>
      <c r="G38" s="399">
        <f>SUM(G39:G39)</f>
        <v>87420.286410239933</v>
      </c>
      <c r="H38" s="393">
        <f t="shared" si="2"/>
        <v>2722016.64</v>
      </c>
      <c r="I38" s="401">
        <f>SUM(I39:I39)</f>
        <v>2498495.39</v>
      </c>
      <c r="J38" s="401">
        <f>SUM(J39:J39)</f>
        <v>136100.83000000002</v>
      </c>
      <c r="K38" s="402">
        <f>SUM(K39:K39)</f>
        <v>87420.419999999984</v>
      </c>
      <c r="L38" s="400"/>
    </row>
    <row r="39" spans="1:13" s="91" customFormat="1" outlineLevel="1" x14ac:dyDescent="0.25">
      <c r="A39" s="260"/>
      <c r="B39" s="261" t="s">
        <v>555</v>
      </c>
      <c r="C39" s="252">
        <v>2722016.6399999997</v>
      </c>
      <c r="D39" s="316">
        <f t="shared" si="3"/>
        <v>2722016.6399999997</v>
      </c>
      <c r="E39" s="250">
        <f>C39*0.917884</f>
        <v>2498495.5215897597</v>
      </c>
      <c r="F39" s="250">
        <f>C39*5%</f>
        <v>136100.83199999999</v>
      </c>
      <c r="G39" s="251">
        <f>C39-E39-F39</f>
        <v>87420.286410239933</v>
      </c>
      <c r="H39" s="300">
        <f t="shared" si="2"/>
        <v>2722016.64</v>
      </c>
      <c r="I39" s="301">
        <f>2002315.44+496179.95</f>
        <v>2498495.39</v>
      </c>
      <c r="J39" s="301">
        <v>136100.83000000002</v>
      </c>
      <c r="K39" s="248">
        <f>583600.37-496179.95</f>
        <v>87420.419999999984</v>
      </c>
      <c r="L39" s="271" t="s">
        <v>682</v>
      </c>
      <c r="M39" s="91">
        <f>I39/H39</f>
        <v>0.91788395165725367</v>
      </c>
    </row>
    <row r="40" spans="1:13" s="395" customFormat="1" ht="30" customHeight="1" x14ac:dyDescent="0.2">
      <c r="A40" s="391">
        <v>14</v>
      </c>
      <c r="B40" s="392" t="s">
        <v>281</v>
      </c>
      <c r="C40" s="290">
        <f>SUM(C41:C41)</f>
        <v>4414156.97</v>
      </c>
      <c r="D40" s="288">
        <f t="shared" si="3"/>
        <v>4414156.97</v>
      </c>
      <c r="E40" s="289">
        <f>SUM(E41:E41)</f>
        <v>4051684.0562514798</v>
      </c>
      <c r="F40" s="289">
        <f>SUM(F41:F41)</f>
        <v>220707.84849999999</v>
      </c>
      <c r="G40" s="399">
        <f>SUM(G41:G41)</f>
        <v>141765.06524851997</v>
      </c>
      <c r="H40" s="393">
        <f t="shared" si="2"/>
        <v>4414156.97</v>
      </c>
      <c r="I40" s="401">
        <f>SUM(I41:I41)</f>
        <v>4051683.84</v>
      </c>
      <c r="J40" s="401">
        <f>SUM(J41:J41)</f>
        <v>220707.85</v>
      </c>
      <c r="K40" s="402">
        <f>SUM(K41:K41)</f>
        <v>141765.28000000003</v>
      </c>
      <c r="L40" s="400"/>
    </row>
    <row r="41" spans="1:13" s="91" customFormat="1" outlineLevel="1" x14ac:dyDescent="0.25">
      <c r="A41" s="260"/>
      <c r="B41" s="261" t="s">
        <v>555</v>
      </c>
      <c r="C41" s="252">
        <v>4414156.97</v>
      </c>
      <c r="D41" s="316">
        <f t="shared" si="3"/>
        <v>4414156.97</v>
      </c>
      <c r="E41" s="250">
        <f>C41*0.917884</f>
        <v>4051684.0562514798</v>
      </c>
      <c r="F41" s="250">
        <f>C41*5%</f>
        <v>220707.84849999999</v>
      </c>
      <c r="G41" s="251">
        <f>C41-E41-F41</f>
        <v>141765.06524851997</v>
      </c>
      <c r="H41" s="300">
        <f t="shared" si="2"/>
        <v>4414156.97</v>
      </c>
      <c r="I41" s="301">
        <f>3247053.87+804629.97</f>
        <v>4051683.84</v>
      </c>
      <c r="J41" s="301">
        <v>220707.85</v>
      </c>
      <c r="K41" s="248">
        <f>946395.25-804629.97</f>
        <v>141765.28000000003</v>
      </c>
      <c r="L41" s="271" t="s">
        <v>682</v>
      </c>
      <c r="M41" s="91">
        <f>I41/H41</f>
        <v>0.91788395100956277</v>
      </c>
    </row>
    <row r="42" spans="1:13" s="395" customFormat="1" ht="30" customHeight="1" x14ac:dyDescent="0.2">
      <c r="A42" s="391">
        <v>15</v>
      </c>
      <c r="B42" s="392" t="s">
        <v>282</v>
      </c>
      <c r="C42" s="290">
        <f>SUM(C43:C43)</f>
        <v>17149220.84</v>
      </c>
      <c r="D42" s="288">
        <f t="shared" si="3"/>
        <v>17149220.84</v>
      </c>
      <c r="E42" s="401">
        <f>SUM(E43:E43)</f>
        <v>15740995.42150256</v>
      </c>
      <c r="F42" s="401">
        <f>SUM(F43:F43)</f>
        <v>857461.04200000002</v>
      </c>
      <c r="G42" s="514">
        <f>SUM(G43:G43)</f>
        <v>550764.37649743946</v>
      </c>
      <c r="H42" s="393">
        <f t="shared" si="2"/>
        <v>17149220.84</v>
      </c>
      <c r="I42" s="401">
        <f>SUM(I43:I43)</f>
        <v>15740994.550000001</v>
      </c>
      <c r="J42" s="401">
        <f>SUM(J43:J43)</f>
        <v>857461.04</v>
      </c>
      <c r="K42" s="402">
        <f>SUM(K43:K43)</f>
        <v>550765.25</v>
      </c>
      <c r="L42" s="400"/>
    </row>
    <row r="43" spans="1:13" s="91" customFormat="1" outlineLevel="1" x14ac:dyDescent="0.25">
      <c r="A43" s="260"/>
      <c r="B43" s="261" t="s">
        <v>555</v>
      </c>
      <c r="C43" s="252">
        <f>17115330.06+33890.78</f>
        <v>17149220.84</v>
      </c>
      <c r="D43" s="316">
        <f t="shared" ref="D43" si="4">E43+F43+G43</f>
        <v>17149220.84</v>
      </c>
      <c r="E43" s="250">
        <f>C43*0.917884</f>
        <v>15740995.42150256</v>
      </c>
      <c r="F43" s="250">
        <f>C43*5%</f>
        <v>857461.04200000002</v>
      </c>
      <c r="G43" s="251">
        <f>C43-E43-F43</f>
        <v>550764.37649743946</v>
      </c>
      <c r="H43" s="300">
        <f>I43+J43+K43</f>
        <v>17149220.84</v>
      </c>
      <c r="I43" s="301">
        <f>12614966.85+3126027.7</f>
        <v>15740994.550000001</v>
      </c>
      <c r="J43" s="301">
        <v>857461.04</v>
      </c>
      <c r="K43" s="248">
        <f>3676792.95-3126027.7</f>
        <v>550765.25</v>
      </c>
      <c r="L43" s="271" t="s">
        <v>699</v>
      </c>
      <c r="M43" s="91">
        <f>I43/H43</f>
        <v>0.91788394918121541</v>
      </c>
    </row>
    <row r="44" spans="1:13" s="9" customFormat="1" ht="27.75" customHeight="1" x14ac:dyDescent="0.2">
      <c r="A44" s="193">
        <v>16</v>
      </c>
      <c r="B44" s="60" t="s">
        <v>297</v>
      </c>
      <c r="C44" s="63">
        <f>SUM(C45:C46)</f>
        <v>87411.46</v>
      </c>
      <c r="D44" s="40">
        <f>E44+F44+G44</f>
        <v>87411.46</v>
      </c>
      <c r="E44" s="75">
        <f>SUM(E45:E46)</f>
        <v>64299.869976000009</v>
      </c>
      <c r="F44" s="75">
        <f>SUM(F45:F46)</f>
        <v>4370.5730000000003</v>
      </c>
      <c r="G44" s="80">
        <f>SUM(G45:G46)</f>
        <v>18741.017023999997</v>
      </c>
      <c r="H44" s="13">
        <f>I44+J44+K44</f>
        <v>87411.46</v>
      </c>
      <c r="I44" s="44">
        <f>SUM(I45:I46)</f>
        <v>64299.87</v>
      </c>
      <c r="J44" s="44">
        <f>SUM(J45:J46)</f>
        <v>4370.57</v>
      </c>
      <c r="K44" s="297">
        <f>SUM(K45:K46)</f>
        <v>18741.02</v>
      </c>
      <c r="L44" s="35"/>
    </row>
    <row r="45" spans="1:13" outlineLevel="1" x14ac:dyDescent="0.25">
      <c r="A45" s="10"/>
      <c r="B45" s="43" t="s">
        <v>555</v>
      </c>
      <c r="C45" s="47"/>
      <c r="D45" s="42">
        <f>SUM(E45:G45)</f>
        <v>0</v>
      </c>
      <c r="E45" s="72"/>
      <c r="F45" s="72"/>
      <c r="G45" s="92"/>
      <c r="H45" s="29"/>
      <c r="I45" s="12"/>
      <c r="J45" s="12"/>
      <c r="K45" s="16"/>
      <c r="L45" s="28"/>
    </row>
    <row r="46" spans="1:13" s="91" customFormat="1" outlineLevel="1" x14ac:dyDescent="0.25">
      <c r="A46" s="260"/>
      <c r="B46" s="261" t="s">
        <v>67</v>
      </c>
      <c r="C46" s="252">
        <v>87411.46</v>
      </c>
      <c r="D46" s="249">
        <f>SUM(E46:G46)</f>
        <v>87411.46</v>
      </c>
      <c r="E46" s="250">
        <f>C46*0.7356</f>
        <v>64299.869976000009</v>
      </c>
      <c r="F46" s="250">
        <f>C46*5%</f>
        <v>4370.5730000000003</v>
      </c>
      <c r="G46" s="251">
        <f>C46-E46-F46</f>
        <v>18741.017023999997</v>
      </c>
      <c r="H46" s="300">
        <f>I46+J46+K46</f>
        <v>87411.46</v>
      </c>
      <c r="I46" s="301">
        <v>64299.87</v>
      </c>
      <c r="J46" s="301">
        <v>4370.57</v>
      </c>
      <c r="K46" s="248">
        <v>18741.02</v>
      </c>
      <c r="L46" s="271" t="s">
        <v>633</v>
      </c>
    </row>
    <row r="47" spans="1:13" s="395" customFormat="1" ht="25.5" customHeight="1" x14ac:dyDescent="0.2">
      <c r="A47" s="391">
        <v>17</v>
      </c>
      <c r="B47" s="392" t="s">
        <v>283</v>
      </c>
      <c r="C47" s="290">
        <f>SUM(C48:C48)</f>
        <v>5630437.2599999998</v>
      </c>
      <c r="D47" s="288">
        <f t="shared" ref="D47" si="5">E47+F47+G47</f>
        <v>5630437.2599999998</v>
      </c>
      <c r="E47" s="401">
        <f>SUM(E48:E48)</f>
        <v>5168088.2739578402</v>
      </c>
      <c r="F47" s="401">
        <f>SUM(F48:F48)</f>
        <v>281521.86300000001</v>
      </c>
      <c r="G47" s="514">
        <f>SUM(G48:G48)</f>
        <v>180827.1230421596</v>
      </c>
      <c r="H47" s="393">
        <f>I47+J47+K47</f>
        <v>5630437.2600000007</v>
      </c>
      <c r="I47" s="401">
        <f>SUM(I48:I48)</f>
        <v>5168087.95</v>
      </c>
      <c r="J47" s="401">
        <f>SUM(J48:J48)</f>
        <v>281521.86</v>
      </c>
      <c r="K47" s="402">
        <f>SUM(K48:K48)</f>
        <v>180827.44999999995</v>
      </c>
      <c r="L47" s="400"/>
    </row>
    <row r="48" spans="1:13" s="91" customFormat="1" outlineLevel="1" x14ac:dyDescent="0.25">
      <c r="A48" s="260"/>
      <c r="B48" s="261" t="s">
        <v>555</v>
      </c>
      <c r="C48" s="252">
        <f>5630437.26</f>
        <v>5630437.2599999998</v>
      </c>
      <c r="D48" s="316">
        <f t="shared" ref="D48" si="6">E48+F48+G48</f>
        <v>5630437.2599999998</v>
      </c>
      <c r="E48" s="250">
        <f>C48*0.917884</f>
        <v>5168088.2739578402</v>
      </c>
      <c r="F48" s="250">
        <f>C48*5%</f>
        <v>281521.86300000001</v>
      </c>
      <c r="G48" s="251">
        <f>C48-E48-F48</f>
        <v>180827.1230421596</v>
      </c>
      <c r="H48" s="300">
        <f>I48+J48+K48</f>
        <v>5630437.2600000007</v>
      </c>
      <c r="I48" s="301">
        <f>4141749.65+1026338.3</f>
        <v>5168087.95</v>
      </c>
      <c r="J48" s="301">
        <v>281521.86</v>
      </c>
      <c r="K48" s="248">
        <f>1207165.75-1026338.3</f>
        <v>180827.44999999995</v>
      </c>
      <c r="L48" s="271" t="s">
        <v>699</v>
      </c>
      <c r="M48" s="91">
        <f>I48/H48</f>
        <v>0.91788394246311156</v>
      </c>
    </row>
    <row r="49" spans="1:13" s="9" customFormat="1" ht="29.25" customHeight="1" x14ac:dyDescent="0.2">
      <c r="A49" s="193">
        <v>18</v>
      </c>
      <c r="B49" s="60" t="s">
        <v>299</v>
      </c>
      <c r="C49" s="63">
        <f>SUM(C50:C51)</f>
        <v>86889.97</v>
      </c>
      <c r="D49" s="40">
        <f>E49+F49+G49</f>
        <v>86889.97</v>
      </c>
      <c r="E49" s="75">
        <f>SUM(E50:E51)</f>
        <v>63916.261932000001</v>
      </c>
      <c r="F49" s="75">
        <f>SUM(F50:F51)</f>
        <v>4344.4985000000006</v>
      </c>
      <c r="G49" s="80">
        <f>SUM(G50:G51)</f>
        <v>18629.209567999998</v>
      </c>
      <c r="H49" s="13">
        <f>I49+J49+K49</f>
        <v>86889.97</v>
      </c>
      <c r="I49" s="44">
        <f>SUM(I50:I51)</f>
        <v>63916.26</v>
      </c>
      <c r="J49" s="44">
        <f>SUM(J50:J51)</f>
        <v>4344.5</v>
      </c>
      <c r="K49" s="297">
        <f>SUM(K50:K51)</f>
        <v>18629.21</v>
      </c>
      <c r="L49" s="35"/>
    </row>
    <row r="50" spans="1:13" outlineLevel="1" x14ac:dyDescent="0.25">
      <c r="A50" s="10"/>
      <c r="B50" s="43" t="s">
        <v>555</v>
      </c>
      <c r="C50" s="47"/>
      <c r="D50" s="42">
        <f>SUM(E50:G50)</f>
        <v>0</v>
      </c>
      <c r="E50" s="72"/>
      <c r="F50" s="72"/>
      <c r="G50" s="92"/>
      <c r="H50" s="29"/>
      <c r="I50" s="12"/>
      <c r="J50" s="12"/>
      <c r="K50" s="16"/>
      <c r="L50" s="28"/>
    </row>
    <row r="51" spans="1:13" s="91" customFormat="1" outlineLevel="1" x14ac:dyDescent="0.25">
      <c r="A51" s="260"/>
      <c r="B51" s="261" t="s">
        <v>67</v>
      </c>
      <c r="C51" s="252">
        <v>86889.97</v>
      </c>
      <c r="D51" s="249">
        <f>SUM(E51:G51)</f>
        <v>86889.97</v>
      </c>
      <c r="E51" s="250">
        <f>C51*0.7356</f>
        <v>63916.261932000001</v>
      </c>
      <c r="F51" s="250">
        <f>C51*5%</f>
        <v>4344.4985000000006</v>
      </c>
      <c r="G51" s="251">
        <f>C51-E51-F51</f>
        <v>18629.209567999998</v>
      </c>
      <c r="H51" s="300">
        <f>I51+J51+K51</f>
        <v>86889.97</v>
      </c>
      <c r="I51" s="301">
        <v>63916.26</v>
      </c>
      <c r="J51" s="301">
        <v>4344.5</v>
      </c>
      <c r="K51" s="248">
        <v>18629.21</v>
      </c>
      <c r="L51" s="271" t="s">
        <v>633</v>
      </c>
    </row>
    <row r="52" spans="1:13" s="395" customFormat="1" ht="27.75" customHeight="1" x14ac:dyDescent="0.2">
      <c r="A52" s="391">
        <v>19</v>
      </c>
      <c r="B52" s="392" t="s">
        <v>284</v>
      </c>
      <c r="C52" s="290">
        <f>SUM(C53:C53)</f>
        <v>4473899.1500000004</v>
      </c>
      <c r="D52" s="288">
        <f>E52+F52+G52</f>
        <v>4473899.1500000004</v>
      </c>
      <c r="E52" s="289">
        <f>SUM(E53:E53)</f>
        <v>4106520.4473986006</v>
      </c>
      <c r="F52" s="289">
        <f>SUM(F53:F53)</f>
        <v>223694.95750000002</v>
      </c>
      <c r="G52" s="247">
        <f>SUM(G53:G53)</f>
        <v>143683.74510139972</v>
      </c>
      <c r="H52" s="393">
        <f>I52+J52+K52</f>
        <v>4473899.1499999994</v>
      </c>
      <c r="I52" s="401">
        <f>SUM(I53:I53)</f>
        <v>4106520.2199999997</v>
      </c>
      <c r="J52" s="401">
        <f>SUM(J53:J53)</f>
        <v>223694.96</v>
      </c>
      <c r="K52" s="402">
        <f>SUM(K53:K53)</f>
        <v>143683.96999999997</v>
      </c>
      <c r="L52" s="400"/>
    </row>
    <row r="53" spans="1:13" s="91" customFormat="1" outlineLevel="1" x14ac:dyDescent="0.25">
      <c r="A53" s="260"/>
      <c r="B53" s="261" t="s">
        <v>555</v>
      </c>
      <c r="C53" s="252">
        <f>4277437.41+196461.74</f>
        <v>4473899.1500000004</v>
      </c>
      <c r="D53" s="300">
        <f t="shared" ref="D53" si="7">SUM(E53:G53)</f>
        <v>4473899.1500000004</v>
      </c>
      <c r="E53" s="250">
        <f>C53*0.917884</f>
        <v>4106520.4473986006</v>
      </c>
      <c r="F53" s="250">
        <f>C53*5%</f>
        <v>223694.95750000002</v>
      </c>
      <c r="G53" s="251">
        <f>C53-E53-F53</f>
        <v>143683.74510139972</v>
      </c>
      <c r="H53" s="300">
        <f>I53+J53+K53</f>
        <v>4473899.1499999994</v>
      </c>
      <c r="I53" s="301">
        <f>3291000.21+815520.01</f>
        <v>4106520.2199999997</v>
      </c>
      <c r="J53" s="301">
        <v>223694.96</v>
      </c>
      <c r="K53" s="248">
        <f>959203.98-815520.01</f>
        <v>143683.96999999997</v>
      </c>
      <c r="L53" s="271" t="s">
        <v>665</v>
      </c>
      <c r="M53" s="91">
        <f>I53/H53</f>
        <v>0.91788394917216676</v>
      </c>
    </row>
    <row r="54" spans="1:13" s="9" customFormat="1" ht="29.25" customHeight="1" x14ac:dyDescent="0.2">
      <c r="A54" s="193">
        <v>20</v>
      </c>
      <c r="B54" s="60" t="s">
        <v>291</v>
      </c>
      <c r="C54" s="63">
        <f>SUM(C55:C56)</f>
        <v>67271.28</v>
      </c>
      <c r="D54" s="40">
        <f>E54+F54+G54</f>
        <v>67271.28</v>
      </c>
      <c r="E54" s="44">
        <f>SUM(E55:E56)</f>
        <v>49484.753568</v>
      </c>
      <c r="F54" s="44">
        <f>SUM(F55:F56)</f>
        <v>3363.5640000000003</v>
      </c>
      <c r="G54" s="50">
        <f>SUM(G55:G56)</f>
        <v>14422.962431999998</v>
      </c>
      <c r="H54" s="13">
        <f>I54+J54+K54</f>
        <v>67271.28</v>
      </c>
      <c r="I54" s="44">
        <f>SUM(I55:I56)</f>
        <v>49484.76</v>
      </c>
      <c r="J54" s="44">
        <f>SUM(J55:J56)</f>
        <v>3363.56</v>
      </c>
      <c r="K54" s="297">
        <f>SUM(K55:K56)</f>
        <v>14422.96</v>
      </c>
      <c r="L54" s="35"/>
    </row>
    <row r="55" spans="1:13" outlineLevel="1" x14ac:dyDescent="0.25">
      <c r="A55" s="10"/>
      <c r="B55" s="43" t="s">
        <v>555</v>
      </c>
      <c r="C55" s="47"/>
      <c r="D55" s="42">
        <f>SUM(E55:G55)</f>
        <v>0</v>
      </c>
      <c r="E55" s="12"/>
      <c r="F55" s="12"/>
      <c r="G55" s="336"/>
      <c r="H55" s="29"/>
      <c r="I55" s="12"/>
      <c r="J55" s="12"/>
      <c r="K55" s="16"/>
      <c r="L55" s="28"/>
    </row>
    <row r="56" spans="1:13" s="91" customFormat="1" outlineLevel="1" x14ac:dyDescent="0.25">
      <c r="A56" s="260"/>
      <c r="B56" s="261" t="s">
        <v>67</v>
      </c>
      <c r="C56" s="252">
        <v>67271.28</v>
      </c>
      <c r="D56" s="300">
        <f t="shared" ref="D56" si="8">SUM(E56:G56)</f>
        <v>67271.28</v>
      </c>
      <c r="E56" s="301">
        <f>C56*0.7356</f>
        <v>49484.753568</v>
      </c>
      <c r="F56" s="301">
        <f>C56*5%</f>
        <v>3363.5640000000003</v>
      </c>
      <c r="G56" s="248">
        <f>C56-E56-F56</f>
        <v>14422.962431999998</v>
      </c>
      <c r="H56" s="300">
        <f>I56+J56+K56</f>
        <v>67271.28</v>
      </c>
      <c r="I56" s="301">
        <v>49484.76</v>
      </c>
      <c r="J56" s="301">
        <v>3363.56</v>
      </c>
      <c r="K56" s="248">
        <v>14422.96</v>
      </c>
      <c r="L56" s="271" t="s">
        <v>633</v>
      </c>
    </row>
    <row r="57" spans="1:13" s="9" customFormat="1" ht="29.25" customHeight="1" x14ac:dyDescent="0.2">
      <c r="A57" s="193">
        <v>21</v>
      </c>
      <c r="B57" s="60" t="s">
        <v>293</v>
      </c>
      <c r="C57" s="63">
        <f>SUM(C58:C59)</f>
        <v>66241.41</v>
      </c>
      <c r="D57" s="40">
        <f>E57+F57+G57</f>
        <v>66241.41</v>
      </c>
      <c r="E57" s="75">
        <f>SUM(E58:E59)</f>
        <v>48727.181196000005</v>
      </c>
      <c r="F57" s="75">
        <f>SUM(F58:F59)</f>
        <v>3312.0705000000003</v>
      </c>
      <c r="G57" s="80">
        <f>SUM(G58:G59)</f>
        <v>14202.158303999999</v>
      </c>
      <c r="H57" s="13">
        <f>I57+J57+K57</f>
        <v>66241.41</v>
      </c>
      <c r="I57" s="44">
        <f>SUM(I58:I59)</f>
        <v>48727.18</v>
      </c>
      <c r="J57" s="44">
        <f>SUM(J58:J59)</f>
        <v>3312.07</v>
      </c>
      <c r="K57" s="297">
        <f>SUM(K58:K59)</f>
        <v>14202.16</v>
      </c>
      <c r="L57" s="35"/>
    </row>
    <row r="58" spans="1:13" outlineLevel="1" x14ac:dyDescent="0.25">
      <c r="A58" s="10"/>
      <c r="B58" s="43" t="s">
        <v>555</v>
      </c>
      <c r="C58" s="47"/>
      <c r="D58" s="42">
        <f>SUM(E58:G58)</f>
        <v>0</v>
      </c>
      <c r="E58" s="72"/>
      <c r="F58" s="72"/>
      <c r="G58" s="92"/>
      <c r="H58" s="29"/>
      <c r="I58" s="12"/>
      <c r="J58" s="12"/>
      <c r="K58" s="16"/>
      <c r="L58" s="28"/>
    </row>
    <row r="59" spans="1:13" s="91" customFormat="1" outlineLevel="1" x14ac:dyDescent="0.25">
      <c r="A59" s="260"/>
      <c r="B59" s="261" t="s">
        <v>67</v>
      </c>
      <c r="C59" s="252">
        <v>66241.41</v>
      </c>
      <c r="D59" s="300">
        <f t="shared" ref="D59" si="9">SUM(E59:G59)</f>
        <v>66241.41</v>
      </c>
      <c r="E59" s="301">
        <f>C59*0.7356</f>
        <v>48727.181196000005</v>
      </c>
      <c r="F59" s="301">
        <f>C59*5%</f>
        <v>3312.0705000000003</v>
      </c>
      <c r="G59" s="248">
        <f>C59-E59-F59</f>
        <v>14202.158303999999</v>
      </c>
      <c r="H59" s="300">
        <f>I59+J59+K59</f>
        <v>66241.41</v>
      </c>
      <c r="I59" s="301">
        <v>48727.18</v>
      </c>
      <c r="J59" s="301">
        <v>3312.07</v>
      </c>
      <c r="K59" s="248">
        <v>14202.16</v>
      </c>
      <c r="L59" s="271" t="s">
        <v>633</v>
      </c>
    </row>
    <row r="60" spans="1:13" s="9" customFormat="1" ht="26.25" customHeight="1" x14ac:dyDescent="0.2">
      <c r="A60" s="193">
        <v>22</v>
      </c>
      <c r="B60" s="60" t="s">
        <v>578</v>
      </c>
      <c r="C60" s="63">
        <f>SUM(C61:C62)</f>
        <v>77542.53</v>
      </c>
      <c r="D60" s="40">
        <f>E60+F60+G60</f>
        <v>77542.53</v>
      </c>
      <c r="E60" s="75">
        <f>SUM(E61:E62)</f>
        <v>57040.285068000005</v>
      </c>
      <c r="F60" s="75">
        <f>SUM(F61:F62)</f>
        <v>3877.1265000000003</v>
      </c>
      <c r="G60" s="80">
        <f>SUM(G61:G62)</f>
        <v>16625.118431999996</v>
      </c>
      <c r="H60" s="13">
        <f>I60+J60+K60</f>
        <v>77542.53</v>
      </c>
      <c r="I60" s="44">
        <f>SUM(I61:I62)</f>
        <v>57040.28</v>
      </c>
      <c r="J60" s="44">
        <f>SUM(J61:J62)</f>
        <v>3877.13</v>
      </c>
      <c r="K60" s="297">
        <f>SUM(K61:K62)</f>
        <v>16625.12</v>
      </c>
      <c r="L60" s="35"/>
    </row>
    <row r="61" spans="1:13" outlineLevel="1" x14ac:dyDescent="0.25">
      <c r="A61" s="10"/>
      <c r="B61" s="43" t="s">
        <v>555</v>
      </c>
      <c r="C61" s="47"/>
      <c r="D61" s="42">
        <f>SUM(E61:G61)</f>
        <v>0</v>
      </c>
      <c r="E61" s="72"/>
      <c r="F61" s="72"/>
      <c r="G61" s="92"/>
      <c r="H61" s="29"/>
      <c r="I61" s="12"/>
      <c r="J61" s="12"/>
      <c r="K61" s="16"/>
      <c r="L61" s="28"/>
    </row>
    <row r="62" spans="1:13" s="91" customFormat="1" outlineLevel="1" x14ac:dyDescent="0.25">
      <c r="A62" s="260"/>
      <c r="B62" s="261" t="s">
        <v>67</v>
      </c>
      <c r="C62" s="252">
        <v>77542.53</v>
      </c>
      <c r="D62" s="300">
        <f t="shared" ref="D62" si="10">SUM(E62:G62)</f>
        <v>77542.53</v>
      </c>
      <c r="E62" s="301">
        <f>C62*0.7356</f>
        <v>57040.285068000005</v>
      </c>
      <c r="F62" s="301">
        <f>C62*5%</f>
        <v>3877.1265000000003</v>
      </c>
      <c r="G62" s="248">
        <f>C62-E62-F62</f>
        <v>16625.118431999996</v>
      </c>
      <c r="H62" s="300">
        <f>I62+J62+K62</f>
        <v>77542.53</v>
      </c>
      <c r="I62" s="301">
        <v>57040.28</v>
      </c>
      <c r="J62" s="301">
        <v>3877.13</v>
      </c>
      <c r="K62" s="248">
        <v>16625.12</v>
      </c>
      <c r="L62" s="271" t="s">
        <v>633</v>
      </c>
    </row>
    <row r="63" spans="1:13" s="9" customFormat="1" ht="28.5" customHeight="1" x14ac:dyDescent="0.2">
      <c r="A63" s="193">
        <v>23</v>
      </c>
      <c r="B63" s="60" t="s">
        <v>579</v>
      </c>
      <c r="C63" s="63">
        <f>SUM(C64:C65)</f>
        <v>100746.3</v>
      </c>
      <c r="D63" s="40">
        <f>E63+F63+G63</f>
        <v>100746.3</v>
      </c>
      <c r="E63" s="75">
        <f>SUM(E64:E65)</f>
        <v>74108.97828000001</v>
      </c>
      <c r="F63" s="75">
        <f>SUM(F64:F65)</f>
        <v>5037.3150000000005</v>
      </c>
      <c r="G63" s="80">
        <f>SUM(G64:G65)</f>
        <v>21600.00671999999</v>
      </c>
      <c r="H63" s="13">
        <f>I63+J63+K63</f>
        <v>100746.3</v>
      </c>
      <c r="I63" s="44">
        <f>SUM(I64:I65)</f>
        <v>74108.97</v>
      </c>
      <c r="J63" s="44">
        <f>SUM(J64:J65)</f>
        <v>5037.32</v>
      </c>
      <c r="K63" s="297">
        <f>SUM(K64:K65)</f>
        <v>21600.01</v>
      </c>
      <c r="L63" s="35"/>
    </row>
    <row r="64" spans="1:13" outlineLevel="1" x14ac:dyDescent="0.25">
      <c r="A64" s="10"/>
      <c r="B64" s="43" t="s">
        <v>555</v>
      </c>
      <c r="C64" s="47"/>
      <c r="D64" s="42">
        <f>SUM(E64:G64)</f>
        <v>0</v>
      </c>
      <c r="E64" s="72"/>
      <c r="F64" s="72"/>
      <c r="G64" s="92"/>
      <c r="H64" s="29"/>
      <c r="I64" s="12"/>
      <c r="J64" s="12"/>
      <c r="K64" s="16"/>
      <c r="L64" s="28"/>
    </row>
    <row r="65" spans="1:13" s="91" customFormat="1" outlineLevel="1" x14ac:dyDescent="0.25">
      <c r="A65" s="260"/>
      <c r="B65" s="261" t="s">
        <v>67</v>
      </c>
      <c r="C65" s="252">
        <v>100746.3</v>
      </c>
      <c r="D65" s="249">
        <f>SUM(E65:G65)</f>
        <v>100746.3</v>
      </c>
      <c r="E65" s="250">
        <f>C65*0.7356</f>
        <v>74108.97828000001</v>
      </c>
      <c r="F65" s="250">
        <f>C65*5%</f>
        <v>5037.3150000000005</v>
      </c>
      <c r="G65" s="251">
        <f>C65-E65-F65</f>
        <v>21600.00671999999</v>
      </c>
      <c r="H65" s="300">
        <f>I65+J65+K65</f>
        <v>100746.3</v>
      </c>
      <c r="I65" s="301">
        <v>74108.97</v>
      </c>
      <c r="J65" s="301">
        <v>5037.32</v>
      </c>
      <c r="K65" s="248">
        <v>21600.01</v>
      </c>
      <c r="L65" s="271" t="s">
        <v>633</v>
      </c>
    </row>
    <row r="66" spans="1:13" s="395" customFormat="1" ht="30" customHeight="1" x14ac:dyDescent="0.2">
      <c r="A66" s="391">
        <v>24</v>
      </c>
      <c r="B66" s="392" t="s">
        <v>294</v>
      </c>
      <c r="C66" s="290">
        <f>SUM(C67:C68)</f>
        <v>5857303.1200000001</v>
      </c>
      <c r="D66" s="288">
        <f>E66+F66+G66</f>
        <v>5857303.1200000001</v>
      </c>
      <c r="E66" s="289">
        <f>SUM(E67:E68)</f>
        <v>5302041.9374655997</v>
      </c>
      <c r="F66" s="289">
        <f>SUM(F67:F68)</f>
        <v>292865.15599999996</v>
      </c>
      <c r="G66" s="247">
        <f>SUM(G67:G68)</f>
        <v>262396.02653440036</v>
      </c>
      <c r="H66" s="393">
        <f>I66+J66+K66</f>
        <v>5857303.120000001</v>
      </c>
      <c r="I66" s="401">
        <f>SUM(I67:I68)</f>
        <v>5317025.4800000004</v>
      </c>
      <c r="J66" s="401">
        <f>SUM(J67:J68)</f>
        <v>292865.16000000003</v>
      </c>
      <c r="K66" s="402">
        <f>SUM(K67:K68)</f>
        <v>247412.47999999998</v>
      </c>
      <c r="L66" s="400"/>
    </row>
    <row r="67" spans="1:13" s="91" customFormat="1" outlineLevel="1" x14ac:dyDescent="0.25">
      <c r="A67" s="260"/>
      <c r="B67" s="261" t="s">
        <v>555</v>
      </c>
      <c r="C67" s="252">
        <v>5770270.46</v>
      </c>
      <c r="D67" s="249">
        <f>SUM(E67:G67)</f>
        <v>5770270.46</v>
      </c>
      <c r="E67" s="250">
        <f>C67*0.90776</f>
        <v>5238020.7127695996</v>
      </c>
      <c r="F67" s="250">
        <f>C67*5%</f>
        <v>288513.52299999999</v>
      </c>
      <c r="G67" s="251">
        <f>C67-E67-F67</f>
        <v>243736.22423040034</v>
      </c>
      <c r="H67" s="300">
        <f>I67+J67+K67</f>
        <v>5770270.46</v>
      </c>
      <c r="I67" s="301">
        <v>5253004.25</v>
      </c>
      <c r="J67" s="301">
        <v>288513.53000000003</v>
      </c>
      <c r="K67" s="248">
        <v>228752.68</v>
      </c>
      <c r="L67" s="271" t="s">
        <v>742</v>
      </c>
    </row>
    <row r="68" spans="1:13" s="91" customFormat="1" outlineLevel="1" x14ac:dyDescent="0.25">
      <c r="A68" s="260"/>
      <c r="B68" s="261" t="s">
        <v>67</v>
      </c>
      <c r="C68" s="252">
        <v>87032.66</v>
      </c>
      <c r="D68" s="249">
        <f>SUM(E68:G68)</f>
        <v>87032.66</v>
      </c>
      <c r="E68" s="250">
        <f>C68*0.7356</f>
        <v>64021.224696000005</v>
      </c>
      <c r="F68" s="250">
        <f>C68*5%</f>
        <v>4351.6330000000007</v>
      </c>
      <c r="G68" s="251">
        <f>C68-E68-F68</f>
        <v>18659.802303999997</v>
      </c>
      <c r="H68" s="300">
        <f>I68+J68+K68</f>
        <v>87032.66</v>
      </c>
      <c r="I68" s="301">
        <v>64021.23</v>
      </c>
      <c r="J68" s="301">
        <v>4351.63</v>
      </c>
      <c r="K68" s="248">
        <v>18659.8</v>
      </c>
      <c r="L68" s="271" t="s">
        <v>633</v>
      </c>
    </row>
    <row r="69" spans="1:13" s="9" customFormat="1" ht="32.25" customHeight="1" x14ac:dyDescent="0.2">
      <c r="A69" s="193">
        <v>25</v>
      </c>
      <c r="B69" s="60" t="s">
        <v>289</v>
      </c>
      <c r="C69" s="63">
        <f>SUM(C70:C71)</f>
        <v>72417.02</v>
      </c>
      <c r="D69" s="13">
        <f t="shared" ref="D69:D70" si="11">SUM(E69:G69)</f>
        <v>72417.02</v>
      </c>
      <c r="E69" s="44">
        <f>SUM(E70:E71)</f>
        <v>53269.959912000006</v>
      </c>
      <c r="F69" s="44">
        <f>SUM(F70:F71)</f>
        <v>3620.8510000000006</v>
      </c>
      <c r="G69" s="50">
        <f>SUM(G70:G71)</f>
        <v>15526.209087999998</v>
      </c>
      <c r="H69" s="13">
        <f>I69+J69+K69</f>
        <v>72417.01999999999</v>
      </c>
      <c r="I69" s="44">
        <f>SUM(I70:I71)</f>
        <v>53269.96</v>
      </c>
      <c r="J69" s="44">
        <f>SUM(J70:J71)</f>
        <v>3620.85</v>
      </c>
      <c r="K69" s="297">
        <f>SUM(K70:K71)</f>
        <v>15526.21</v>
      </c>
      <c r="L69" s="35"/>
    </row>
    <row r="70" spans="1:13" outlineLevel="1" x14ac:dyDescent="0.25">
      <c r="A70" s="10"/>
      <c r="B70" s="43" t="s">
        <v>555</v>
      </c>
      <c r="C70" s="47"/>
      <c r="D70" s="29">
        <f t="shared" si="11"/>
        <v>0</v>
      </c>
      <c r="E70" s="12"/>
      <c r="F70" s="12"/>
      <c r="G70" s="336"/>
      <c r="H70" s="29"/>
      <c r="I70" s="12"/>
      <c r="J70" s="12"/>
      <c r="K70" s="16"/>
      <c r="L70" s="28"/>
    </row>
    <row r="71" spans="1:13" s="91" customFormat="1" outlineLevel="1" x14ac:dyDescent="0.25">
      <c r="A71" s="260"/>
      <c r="B71" s="261" t="s">
        <v>67</v>
      </c>
      <c r="C71" s="252">
        <v>72417.02</v>
      </c>
      <c r="D71" s="300">
        <f t="shared" ref="D71" si="12">SUM(E71:G71)</f>
        <v>72417.02</v>
      </c>
      <c r="E71" s="301">
        <f>C71*0.7356</f>
        <v>53269.959912000006</v>
      </c>
      <c r="F71" s="301">
        <f>C71*5%</f>
        <v>3620.8510000000006</v>
      </c>
      <c r="G71" s="248">
        <f>C71-E71-F71</f>
        <v>15526.209087999998</v>
      </c>
      <c r="H71" s="300">
        <f>I71+J71+K71</f>
        <v>72417.01999999999</v>
      </c>
      <c r="I71" s="301">
        <v>53269.96</v>
      </c>
      <c r="J71" s="301">
        <v>3620.85</v>
      </c>
      <c r="K71" s="248">
        <v>15526.21</v>
      </c>
      <c r="L71" s="271" t="s">
        <v>633</v>
      </c>
    </row>
    <row r="72" spans="1:13" s="395" customFormat="1" ht="27" customHeight="1" x14ac:dyDescent="0.2">
      <c r="A72" s="391">
        <v>26</v>
      </c>
      <c r="B72" s="392" t="s">
        <v>285</v>
      </c>
      <c r="C72" s="290">
        <f>SUM(C73:C73)</f>
        <v>3626475.12</v>
      </c>
      <c r="D72" s="288">
        <f>E72+F72+G72</f>
        <v>3626475.12</v>
      </c>
      <c r="E72" s="289">
        <f>SUM(E73:E73)</f>
        <v>3328683.48904608</v>
      </c>
      <c r="F72" s="289">
        <f>SUM(F73:F73)</f>
        <v>181323.75600000002</v>
      </c>
      <c r="G72" s="399">
        <f>SUM(G73:G73)</f>
        <v>116467.87495392005</v>
      </c>
      <c r="H72" s="393">
        <f>I72+J72+K72</f>
        <v>3626475.12</v>
      </c>
      <c r="I72" s="401">
        <f>SUM(I73:I73)</f>
        <v>3328683.1</v>
      </c>
      <c r="J72" s="401">
        <f>SUM(J73:J73)</f>
        <v>181323.76</v>
      </c>
      <c r="K72" s="402">
        <f>SUM(K73:K73)</f>
        <v>116468.26000000001</v>
      </c>
      <c r="L72" s="400"/>
    </row>
    <row r="73" spans="1:13" s="91" customFormat="1" outlineLevel="1" x14ac:dyDescent="0.25">
      <c r="A73" s="260"/>
      <c r="B73" s="261" t="s">
        <v>555</v>
      </c>
      <c r="C73" s="252">
        <v>3626475.12</v>
      </c>
      <c r="D73" s="300">
        <f>SUM(E73:G73)</f>
        <v>3626475.12</v>
      </c>
      <c r="E73" s="250">
        <f>C73*0.917884</f>
        <v>3328683.48904608</v>
      </c>
      <c r="F73" s="250">
        <f>C73*5%</f>
        <v>181323.75600000002</v>
      </c>
      <c r="G73" s="251">
        <f>C73-E73-F73</f>
        <v>116467.87495392005</v>
      </c>
      <c r="H73" s="300">
        <f>I73+J73+K73</f>
        <v>3626475.12</v>
      </c>
      <c r="I73" s="301">
        <f>2667635.1+661048</f>
        <v>3328683.1</v>
      </c>
      <c r="J73" s="301">
        <v>181323.76</v>
      </c>
      <c r="K73" s="248">
        <f>777516.26-661048</f>
        <v>116468.26000000001</v>
      </c>
      <c r="L73" s="271" t="s">
        <v>719</v>
      </c>
      <c r="M73" s="91">
        <f>I73/H73</f>
        <v>0.91788389272059867</v>
      </c>
    </row>
    <row r="74" spans="1:13" s="9" customFormat="1" ht="30.75" customHeight="1" x14ac:dyDescent="0.2">
      <c r="A74" s="193">
        <v>27</v>
      </c>
      <c r="B74" s="60" t="s">
        <v>295</v>
      </c>
      <c r="C74" s="63">
        <f>SUM(C75:C76)</f>
        <v>67136.06</v>
      </c>
      <c r="D74" s="40">
        <f>E74+F74+G74</f>
        <v>67136.06</v>
      </c>
      <c r="E74" s="75">
        <f>SUM(E75:E76)</f>
        <v>49385.285735999998</v>
      </c>
      <c r="F74" s="75">
        <f>SUM(F75:F76)</f>
        <v>3356.8029999999999</v>
      </c>
      <c r="G74" s="80">
        <f>SUM(G75:G76)</f>
        <v>14393.971264</v>
      </c>
      <c r="H74" s="13">
        <f>I74+J74+K74</f>
        <v>67136.06</v>
      </c>
      <c r="I74" s="44">
        <f>SUM(I75:I76)</f>
        <v>49385.29</v>
      </c>
      <c r="J74" s="44">
        <f>SUM(J75:J76)</f>
        <v>3356.8</v>
      </c>
      <c r="K74" s="297">
        <f>SUM(K75:K76)</f>
        <v>14393.97</v>
      </c>
      <c r="L74" s="35"/>
    </row>
    <row r="75" spans="1:13" outlineLevel="1" x14ac:dyDescent="0.25">
      <c r="A75" s="10"/>
      <c r="B75" s="43" t="s">
        <v>555</v>
      </c>
      <c r="C75" s="47"/>
      <c r="D75" s="42">
        <f>SUM(E75:G75)</f>
        <v>0</v>
      </c>
      <c r="E75" s="72"/>
      <c r="F75" s="72"/>
      <c r="G75" s="92"/>
      <c r="H75" s="29"/>
      <c r="I75" s="12"/>
      <c r="J75" s="12"/>
      <c r="K75" s="16"/>
      <c r="L75" s="28"/>
    </row>
    <row r="76" spans="1:13" s="91" customFormat="1" outlineLevel="1" x14ac:dyDescent="0.25">
      <c r="A76" s="260"/>
      <c r="B76" s="261" t="s">
        <v>67</v>
      </c>
      <c r="C76" s="252">
        <v>67136.06</v>
      </c>
      <c r="D76" s="249">
        <f>SUM(E76:G76)</f>
        <v>67136.06</v>
      </c>
      <c r="E76" s="250">
        <f>C76*0.7356</f>
        <v>49385.285735999998</v>
      </c>
      <c r="F76" s="250">
        <f>C76*5%</f>
        <v>3356.8029999999999</v>
      </c>
      <c r="G76" s="251">
        <f>C76-E76-F76</f>
        <v>14393.971264</v>
      </c>
      <c r="H76" s="300">
        <f t="shared" ref="H76:H85" si="13">I76+J76+K76</f>
        <v>67136.06</v>
      </c>
      <c r="I76" s="301">
        <v>49385.29</v>
      </c>
      <c r="J76" s="301">
        <v>3356.8</v>
      </c>
      <c r="K76" s="248">
        <v>14393.97</v>
      </c>
      <c r="L76" s="271" t="s">
        <v>633</v>
      </c>
    </row>
    <row r="77" spans="1:13" s="395" customFormat="1" ht="24.75" customHeight="1" x14ac:dyDescent="0.2">
      <c r="A77" s="391">
        <v>28</v>
      </c>
      <c r="B77" s="392" t="s">
        <v>580</v>
      </c>
      <c r="C77" s="290">
        <f>SUM(C78:C79)</f>
        <v>6029481.0600000005</v>
      </c>
      <c r="D77" s="288">
        <f>E77+F77+G77</f>
        <v>6029481.0600000005</v>
      </c>
      <c r="E77" s="289">
        <f>SUM(E78:E79)</f>
        <v>5459182.4138800008</v>
      </c>
      <c r="F77" s="289">
        <f>SUM(F78:F79)</f>
        <v>301474.05300000001</v>
      </c>
      <c r="G77" s="247">
        <f>SUM(G78:G79)</f>
        <v>268824.59311999968</v>
      </c>
      <c r="H77" s="393">
        <f t="shared" si="13"/>
        <v>6029481.0599999996</v>
      </c>
      <c r="I77" s="401">
        <f>SUM(I78:I79)</f>
        <v>5473321.7299999995</v>
      </c>
      <c r="J77" s="401">
        <f>SUM(J78:J79)</f>
        <v>301474.05</v>
      </c>
      <c r="K77" s="402">
        <f>SUM(K78:K79)</f>
        <v>254685.28</v>
      </c>
      <c r="L77" s="400"/>
    </row>
    <row r="78" spans="1:13" s="91" customFormat="1" outlineLevel="1" x14ac:dyDescent="0.25">
      <c r="A78" s="260"/>
      <c r="B78" s="261" t="s">
        <v>555</v>
      </c>
      <c r="C78" s="252">
        <v>5947352.1500000004</v>
      </c>
      <c r="D78" s="249">
        <f>SUM(E78:G78)</f>
        <v>5947352.1500000004</v>
      </c>
      <c r="E78" s="250">
        <f>C78*0.90776</f>
        <v>5398768.3876840007</v>
      </c>
      <c r="F78" s="250">
        <f>C78*5%</f>
        <v>297367.60750000004</v>
      </c>
      <c r="G78" s="251">
        <f>C78-E78-F78</f>
        <v>251216.15481599967</v>
      </c>
      <c r="H78" s="300">
        <f t="shared" si="13"/>
        <v>5947352.1499999994</v>
      </c>
      <c r="I78" s="301">
        <v>5412907.71</v>
      </c>
      <c r="J78" s="301">
        <v>297367.59999999998</v>
      </c>
      <c r="K78" s="248">
        <v>237076.84</v>
      </c>
      <c r="L78" s="271" t="s">
        <v>760</v>
      </c>
    </row>
    <row r="79" spans="1:13" s="91" customFormat="1" outlineLevel="1" x14ac:dyDescent="0.25">
      <c r="A79" s="260"/>
      <c r="B79" s="261" t="s">
        <v>67</v>
      </c>
      <c r="C79" s="252">
        <v>82128.91</v>
      </c>
      <c r="D79" s="249">
        <f>SUM(E79:G79)</f>
        <v>82128.91</v>
      </c>
      <c r="E79" s="250">
        <f>C79*0.7356</f>
        <v>60414.026196000006</v>
      </c>
      <c r="F79" s="250">
        <f>C79*5%</f>
        <v>4106.4455000000007</v>
      </c>
      <c r="G79" s="251">
        <f>C79-E79-F79</f>
        <v>17608.438303999996</v>
      </c>
      <c r="H79" s="300">
        <f t="shared" si="13"/>
        <v>82128.909999999989</v>
      </c>
      <c r="I79" s="301">
        <v>60414.02</v>
      </c>
      <c r="J79" s="301">
        <v>4106.45</v>
      </c>
      <c r="K79" s="248">
        <v>17608.439999999999</v>
      </c>
      <c r="L79" s="271" t="s">
        <v>633</v>
      </c>
    </row>
    <row r="80" spans="1:13" s="395" customFormat="1" ht="27.75" customHeight="1" x14ac:dyDescent="0.2">
      <c r="A80" s="391">
        <v>29</v>
      </c>
      <c r="B80" s="392" t="s">
        <v>286</v>
      </c>
      <c r="C80" s="290">
        <f>SUM(C81:C81)</f>
        <v>4546462.12</v>
      </c>
      <c r="D80" s="288">
        <f>E80+F80+G80</f>
        <v>4546462.12</v>
      </c>
      <c r="E80" s="289">
        <f>SUM(E81:E81)</f>
        <v>4173124.8365540802</v>
      </c>
      <c r="F80" s="289">
        <f>SUM(F81:F81)</f>
        <v>227323.10600000003</v>
      </c>
      <c r="G80" s="399">
        <f>SUM(G81:G81)</f>
        <v>146014.17744591984</v>
      </c>
      <c r="H80" s="393">
        <f t="shared" si="13"/>
        <v>4546462.12</v>
      </c>
      <c r="I80" s="401">
        <f>SUM(I81:I81)</f>
        <v>4173124.54</v>
      </c>
      <c r="J80" s="401">
        <f>SUM(J81:J81)</f>
        <v>227323.11</v>
      </c>
      <c r="K80" s="402">
        <f>SUM(K81:K81)</f>
        <v>146014.46999999997</v>
      </c>
      <c r="L80" s="400"/>
    </row>
    <row r="81" spans="1:13" s="91" customFormat="1" outlineLevel="1" x14ac:dyDescent="0.25">
      <c r="A81" s="260"/>
      <c r="B81" s="261" t="s">
        <v>555</v>
      </c>
      <c r="C81" s="561">
        <v>4546462.12</v>
      </c>
      <c r="D81" s="300">
        <f>SUM(E81:G81)</f>
        <v>4546462.12</v>
      </c>
      <c r="E81" s="250">
        <f>C81*0.917884</f>
        <v>4173124.8365540802</v>
      </c>
      <c r="F81" s="250">
        <f>C81*5%</f>
        <v>227323.10600000003</v>
      </c>
      <c r="G81" s="251">
        <f>C81-E81-F81</f>
        <v>146014.17744591984</v>
      </c>
      <c r="H81" s="300">
        <f t="shared" si="13"/>
        <v>4546462.12</v>
      </c>
      <c r="I81" s="301">
        <f>3344377.54+828747</f>
        <v>4173124.54</v>
      </c>
      <c r="J81" s="301">
        <v>227323.11</v>
      </c>
      <c r="K81" s="248">
        <f>974761.47-828747</f>
        <v>146014.46999999997</v>
      </c>
      <c r="L81" s="271" t="s">
        <v>719</v>
      </c>
      <c r="M81" s="91">
        <f>I81/H81</f>
        <v>0.91788393477256114</v>
      </c>
    </row>
    <row r="82" spans="1:13" s="395" customFormat="1" ht="29.25" customHeight="1" x14ac:dyDescent="0.2">
      <c r="A82" s="391">
        <v>30</v>
      </c>
      <c r="B82" s="392" t="s">
        <v>287</v>
      </c>
      <c r="C82" s="290">
        <f>SUM(C83:C84)</f>
        <v>2362510.19</v>
      </c>
      <c r="D82" s="288">
        <f t="shared" ref="D82:D86" si="14">SUM(E82:G82)</f>
        <v>2362510.1900000004</v>
      </c>
      <c r="E82" s="401">
        <f>SUM(E83:E84)</f>
        <v>2133034.1059848</v>
      </c>
      <c r="F82" s="401">
        <f>SUM(F83:F84)</f>
        <v>118125.5095</v>
      </c>
      <c r="G82" s="514">
        <f>SUM(G83:G84)</f>
        <v>111350.57451520002</v>
      </c>
      <c r="H82" s="393">
        <f t="shared" si="13"/>
        <v>2362510.19</v>
      </c>
      <c r="I82" s="401">
        <f>SUM(I83:I84)</f>
        <v>2144592.25</v>
      </c>
      <c r="J82" s="401">
        <f>SUM(J83:J84)</f>
        <v>118125.51000000001</v>
      </c>
      <c r="K82" s="402">
        <f>SUM(K83:K84)</f>
        <v>99792.430000000008</v>
      </c>
      <c r="L82" s="400"/>
    </row>
    <row r="83" spans="1:13" s="91" customFormat="1" outlineLevel="1" x14ac:dyDescent="0.25">
      <c r="A83" s="260"/>
      <c r="B83" s="261" t="s">
        <v>555</v>
      </c>
      <c r="C83" s="252">
        <v>2295374.13</v>
      </c>
      <c r="D83" s="249">
        <f t="shared" si="14"/>
        <v>2295374.13</v>
      </c>
      <c r="E83" s="250">
        <f>C83*0.90776</f>
        <v>2083648.8202487999</v>
      </c>
      <c r="F83" s="250">
        <f>C83*5%</f>
        <v>114768.7065</v>
      </c>
      <c r="G83" s="251">
        <f>C83-E83-F83</f>
        <v>96956.603251200024</v>
      </c>
      <c r="H83" s="300">
        <f t="shared" si="13"/>
        <v>2295374.13</v>
      </c>
      <c r="I83" s="301">
        <v>2095206.96</v>
      </c>
      <c r="J83" s="301">
        <v>114768.71</v>
      </c>
      <c r="K83" s="248">
        <v>85398.46</v>
      </c>
      <c r="L83" s="271" t="s">
        <v>760</v>
      </c>
    </row>
    <row r="84" spans="1:13" s="91" customFormat="1" outlineLevel="1" x14ac:dyDescent="0.25">
      <c r="A84" s="260"/>
      <c r="B84" s="261" t="s">
        <v>67</v>
      </c>
      <c r="C84" s="252">
        <v>67136.06</v>
      </c>
      <c r="D84" s="249">
        <f t="shared" si="14"/>
        <v>67136.06</v>
      </c>
      <c r="E84" s="250">
        <f>C84*0.7356</f>
        <v>49385.285735999998</v>
      </c>
      <c r="F84" s="250">
        <f>C84*5%</f>
        <v>3356.8029999999999</v>
      </c>
      <c r="G84" s="251">
        <f>C84-E84-F84</f>
        <v>14393.971264</v>
      </c>
      <c r="H84" s="300">
        <f t="shared" si="13"/>
        <v>67136.06</v>
      </c>
      <c r="I84" s="301">
        <v>49385.29</v>
      </c>
      <c r="J84" s="301">
        <v>3356.8</v>
      </c>
      <c r="K84" s="248">
        <v>14393.97</v>
      </c>
      <c r="L84" s="271" t="s">
        <v>633</v>
      </c>
    </row>
    <row r="85" spans="1:13" s="9" customFormat="1" ht="24.75" customHeight="1" x14ac:dyDescent="0.2">
      <c r="A85" s="193">
        <v>31</v>
      </c>
      <c r="B85" s="60" t="s">
        <v>288</v>
      </c>
      <c r="C85" s="63">
        <f>SUM(C86:C87)</f>
        <v>67136.06</v>
      </c>
      <c r="D85" s="13">
        <f t="shared" si="14"/>
        <v>67136.06</v>
      </c>
      <c r="E85" s="44">
        <f>SUM(E86:E87)</f>
        <v>49385.285735999998</v>
      </c>
      <c r="F85" s="44">
        <f>SUM(F86:F87)</f>
        <v>3356.8029999999999</v>
      </c>
      <c r="G85" s="50">
        <f>SUM(G86:G87)</f>
        <v>14393.971264</v>
      </c>
      <c r="H85" s="13">
        <f t="shared" si="13"/>
        <v>67136.06</v>
      </c>
      <c r="I85" s="44">
        <f>SUM(I86:I87)</f>
        <v>49385.29</v>
      </c>
      <c r="J85" s="44">
        <f>SUM(J86:J87)</f>
        <v>3356.8</v>
      </c>
      <c r="K85" s="297">
        <f>SUM(K86:K87)</f>
        <v>14393.97</v>
      </c>
      <c r="L85" s="35"/>
    </row>
    <row r="86" spans="1:13" outlineLevel="1" x14ac:dyDescent="0.25">
      <c r="A86" s="10"/>
      <c r="B86" s="43" t="s">
        <v>555</v>
      </c>
      <c r="C86" s="47"/>
      <c r="D86" s="29">
        <f t="shared" si="14"/>
        <v>0</v>
      </c>
      <c r="E86" s="12"/>
      <c r="F86" s="12"/>
      <c r="G86" s="336"/>
      <c r="H86" s="29"/>
      <c r="I86" s="12"/>
      <c r="J86" s="12"/>
      <c r="K86" s="16"/>
      <c r="L86" s="28"/>
    </row>
    <row r="87" spans="1:13" s="91" customFormat="1" outlineLevel="1" x14ac:dyDescent="0.25">
      <c r="A87" s="260"/>
      <c r="B87" s="261" t="s">
        <v>67</v>
      </c>
      <c r="C87" s="252">
        <v>67136.06</v>
      </c>
      <c r="D87" s="249">
        <f t="shared" ref="D87" si="15">SUM(E87:G87)</f>
        <v>67136.06</v>
      </c>
      <c r="E87" s="250">
        <f>C87*0.7356</f>
        <v>49385.285735999998</v>
      </c>
      <c r="F87" s="250">
        <f>C87*5%</f>
        <v>3356.8029999999999</v>
      </c>
      <c r="G87" s="251">
        <f>C87-E87-F87</f>
        <v>14393.971264</v>
      </c>
      <c r="H87" s="300">
        <f t="shared" ref="H87:H96" si="16">I87+J87+K87</f>
        <v>67136.06</v>
      </c>
      <c r="I87" s="301">
        <v>49385.29</v>
      </c>
      <c r="J87" s="301">
        <v>3356.8</v>
      </c>
      <c r="K87" s="248">
        <v>14393.97</v>
      </c>
      <c r="L87" s="271" t="s">
        <v>633</v>
      </c>
    </row>
    <row r="88" spans="1:13" s="395" customFormat="1" ht="30.75" customHeight="1" x14ac:dyDescent="0.2">
      <c r="A88" s="391">
        <v>32</v>
      </c>
      <c r="B88" s="392" t="s">
        <v>581</v>
      </c>
      <c r="C88" s="290">
        <f>SUM(C89:C90)</f>
        <v>3716315.1999999997</v>
      </c>
      <c r="D88" s="288">
        <f>E88+F88+G88</f>
        <v>3716315.1999999993</v>
      </c>
      <c r="E88" s="289">
        <f>SUM(E89:E90)</f>
        <v>3360591.9319743998</v>
      </c>
      <c r="F88" s="289">
        <f>SUM(F89:F90)</f>
        <v>185815.76</v>
      </c>
      <c r="G88" s="247">
        <f>SUM(G89:G90)</f>
        <v>169907.50802559988</v>
      </c>
      <c r="H88" s="393">
        <f t="shared" si="16"/>
        <v>3716315.1999999997</v>
      </c>
      <c r="I88" s="401">
        <f>SUM(I89:I90)</f>
        <v>3373522.29</v>
      </c>
      <c r="J88" s="401">
        <f>SUM(J89:J90)</f>
        <v>185815.75999999998</v>
      </c>
      <c r="K88" s="402">
        <f>SUM(K89:K90)</f>
        <v>156977.15000000002</v>
      </c>
      <c r="L88" s="400"/>
    </row>
    <row r="89" spans="1:13" s="91" customFormat="1" outlineLevel="1" x14ac:dyDescent="0.25">
      <c r="A89" s="260"/>
      <c r="B89" s="261" t="s">
        <v>555</v>
      </c>
      <c r="C89" s="252">
        <v>3641208.59</v>
      </c>
      <c r="D89" s="249">
        <f>SUM(E89:G89)</f>
        <v>3641208.59</v>
      </c>
      <c r="E89" s="250">
        <f>C89*0.90776</f>
        <v>3305343.5096584</v>
      </c>
      <c r="F89" s="250">
        <f>C89*5%</f>
        <v>182060.4295</v>
      </c>
      <c r="G89" s="251">
        <f>C89-E89-F89</f>
        <v>153804.65084159988</v>
      </c>
      <c r="H89" s="300">
        <f t="shared" si="16"/>
        <v>3641208.5900000003</v>
      </c>
      <c r="I89" s="301">
        <v>3318273.87</v>
      </c>
      <c r="J89" s="301">
        <v>182060.43</v>
      </c>
      <c r="K89" s="248">
        <v>140874.29</v>
      </c>
      <c r="L89" s="271" t="s">
        <v>760</v>
      </c>
    </row>
    <row r="90" spans="1:13" s="91" customFormat="1" outlineLevel="1" x14ac:dyDescent="0.25">
      <c r="A90" s="260"/>
      <c r="B90" s="261" t="s">
        <v>67</v>
      </c>
      <c r="C90" s="252">
        <v>75106.61</v>
      </c>
      <c r="D90" s="249">
        <f t="shared" ref="D90" si="17">SUM(E90:G90)</f>
        <v>75106.61</v>
      </c>
      <c r="E90" s="250">
        <f>C90*0.7356</f>
        <v>55248.422316000004</v>
      </c>
      <c r="F90" s="250">
        <f>C90*5%</f>
        <v>3755.3305</v>
      </c>
      <c r="G90" s="251">
        <f>C90-E90-F90</f>
        <v>16102.857183999997</v>
      </c>
      <c r="H90" s="300">
        <f t="shared" si="16"/>
        <v>75106.61</v>
      </c>
      <c r="I90" s="301">
        <v>55248.42</v>
      </c>
      <c r="J90" s="301">
        <v>3755.33</v>
      </c>
      <c r="K90" s="248">
        <v>16102.86</v>
      </c>
      <c r="L90" s="271" t="s">
        <v>633</v>
      </c>
    </row>
    <row r="91" spans="1:13" s="395" customFormat="1" ht="29.25" customHeight="1" x14ac:dyDescent="0.2">
      <c r="A91" s="391">
        <v>33</v>
      </c>
      <c r="B91" s="392" t="s">
        <v>290</v>
      </c>
      <c r="C91" s="290">
        <f>SUM(C92:C93)</f>
        <v>5897585.5800000001</v>
      </c>
      <c r="D91" s="393">
        <f t="shared" ref="D91:D92" si="18">SUM(E91:G91)</f>
        <v>5897585.5800000001</v>
      </c>
      <c r="E91" s="401">
        <f>SUM(E92:E93)</f>
        <v>5341589.3287760001</v>
      </c>
      <c r="F91" s="401">
        <f>SUM(F92:F93)</f>
        <v>294879.27899999998</v>
      </c>
      <c r="G91" s="514">
        <f>SUM(G92:G93)</f>
        <v>261116.97222400023</v>
      </c>
      <c r="H91" s="393">
        <f t="shared" si="16"/>
        <v>5897585.5800000001</v>
      </c>
      <c r="I91" s="401">
        <f>SUM(I92:I93)</f>
        <v>5353592.28</v>
      </c>
      <c r="J91" s="401">
        <f>SUM(J92:J93)</f>
        <v>294879.27999999997</v>
      </c>
      <c r="K91" s="402">
        <f>SUM(K92:K93)</f>
        <v>249114.02000000002</v>
      </c>
      <c r="L91" s="400"/>
    </row>
    <row r="92" spans="1:13" s="91" customFormat="1" outlineLevel="1" x14ac:dyDescent="0.25">
      <c r="A92" s="260"/>
      <c r="B92" s="261" t="s">
        <v>555</v>
      </c>
      <c r="C92" s="252">
        <v>5827865.7999999998</v>
      </c>
      <c r="D92" s="300">
        <f t="shared" si="18"/>
        <v>5827865.7999999998</v>
      </c>
      <c r="E92" s="595">
        <f>C92*0.90776</f>
        <v>5290303.4586079996</v>
      </c>
      <c r="F92" s="595">
        <f>C92*0.05</f>
        <v>291393.28999999998</v>
      </c>
      <c r="G92" s="596">
        <f>C92-E92-F92</f>
        <v>246169.05139200023</v>
      </c>
      <c r="H92" s="300">
        <f t="shared" si="16"/>
        <v>5827865.7999999998</v>
      </c>
      <c r="I92" s="301">
        <v>5302306.41</v>
      </c>
      <c r="J92" s="301">
        <v>291393.28999999998</v>
      </c>
      <c r="K92" s="248">
        <v>234166.1</v>
      </c>
      <c r="L92" s="271" t="s">
        <v>742</v>
      </c>
    </row>
    <row r="93" spans="1:13" s="91" customFormat="1" outlineLevel="1" x14ac:dyDescent="0.25">
      <c r="A93" s="260"/>
      <c r="B93" s="261" t="s">
        <v>67</v>
      </c>
      <c r="C93" s="252">
        <v>69719.78</v>
      </c>
      <c r="D93" s="249">
        <f t="shared" ref="D93" si="19">SUM(E93:G93)</f>
        <v>69719.78</v>
      </c>
      <c r="E93" s="250">
        <f>C93*0.7356</f>
        <v>51285.870168000001</v>
      </c>
      <c r="F93" s="250">
        <f>C93*5%</f>
        <v>3485.989</v>
      </c>
      <c r="G93" s="251">
        <f>C93-E93-F93</f>
        <v>14947.920831999998</v>
      </c>
      <c r="H93" s="300">
        <f t="shared" si="16"/>
        <v>69719.78</v>
      </c>
      <c r="I93" s="301">
        <v>51285.87</v>
      </c>
      <c r="J93" s="301">
        <v>3485.99</v>
      </c>
      <c r="K93" s="248">
        <v>14947.92</v>
      </c>
      <c r="L93" s="271" t="s">
        <v>633</v>
      </c>
    </row>
    <row r="94" spans="1:13" s="395" customFormat="1" ht="26.25" customHeight="1" x14ac:dyDescent="0.2">
      <c r="A94" s="391">
        <v>34</v>
      </c>
      <c r="B94" s="392" t="s">
        <v>292</v>
      </c>
      <c r="C94" s="290">
        <f>SUM(C95:C96)</f>
        <v>2729084.4200000004</v>
      </c>
      <c r="D94" s="288">
        <f>E94+F94+G94</f>
        <v>2729084.4200000004</v>
      </c>
      <c r="E94" s="289">
        <f>SUM(E95:E96)</f>
        <v>2493008.4442404006</v>
      </c>
      <c r="F94" s="289">
        <f>SUM(F95:F96)</f>
        <v>136454.22100000002</v>
      </c>
      <c r="G94" s="247">
        <f>SUM(G95:G96)</f>
        <v>99621.754759599717</v>
      </c>
      <c r="H94" s="393">
        <f t="shared" si="16"/>
        <v>2729084.4200000004</v>
      </c>
      <c r="I94" s="401">
        <f>SUM(I95:I96)</f>
        <v>2504972.0100000002</v>
      </c>
      <c r="J94" s="401">
        <f>SUM(J95:J96)</f>
        <v>136454.22</v>
      </c>
      <c r="K94" s="402">
        <f>SUM(K95:K96)</f>
        <v>87658.19</v>
      </c>
      <c r="L94" s="400"/>
    </row>
    <row r="95" spans="1:13" s="91" customFormat="1" outlineLevel="1" x14ac:dyDescent="0.25">
      <c r="A95" s="260"/>
      <c r="B95" s="261" t="s">
        <v>555</v>
      </c>
      <c r="C95" s="252">
        <v>2663451.5300000003</v>
      </c>
      <c r="D95" s="249">
        <f>SUM(E95:G95)</f>
        <v>2663451.5300000003</v>
      </c>
      <c r="E95" s="257">
        <f>C95*0.91788</f>
        <v>2444728.8903564005</v>
      </c>
      <c r="F95" s="257">
        <f>C95*0.05</f>
        <v>133172.57650000002</v>
      </c>
      <c r="G95" s="398">
        <f>C95-E95-F95</f>
        <v>85550.06314359972</v>
      </c>
      <c r="H95" s="300">
        <f t="shared" si="16"/>
        <v>2663451.5300000003</v>
      </c>
      <c r="I95" s="301">
        <v>2456692.4500000002</v>
      </c>
      <c r="J95" s="301">
        <v>133172.57999999999</v>
      </c>
      <c r="K95" s="248">
        <v>73586.5</v>
      </c>
      <c r="L95" s="271" t="s">
        <v>742</v>
      </c>
    </row>
    <row r="96" spans="1:13" s="91" customFormat="1" outlineLevel="1" x14ac:dyDescent="0.25">
      <c r="A96" s="267"/>
      <c r="B96" s="261" t="s">
        <v>67</v>
      </c>
      <c r="C96" s="252">
        <v>65632.89</v>
      </c>
      <c r="D96" s="249">
        <f t="shared" ref="D96" si="20">SUM(E96:G96)</f>
        <v>65632.89</v>
      </c>
      <c r="E96" s="250">
        <f>C96*0.7356</f>
        <v>48279.553884000001</v>
      </c>
      <c r="F96" s="250">
        <f>C96*5%</f>
        <v>3281.6445000000003</v>
      </c>
      <c r="G96" s="251">
        <f>C96-E96-F96</f>
        <v>14071.691615999998</v>
      </c>
      <c r="H96" s="300">
        <f t="shared" si="16"/>
        <v>65632.89</v>
      </c>
      <c r="I96" s="301">
        <v>48279.56</v>
      </c>
      <c r="J96" s="301">
        <v>3281.64</v>
      </c>
      <c r="K96" s="248">
        <v>14071.69</v>
      </c>
      <c r="L96" s="271" t="s">
        <v>633</v>
      </c>
    </row>
    <row r="97" spans="1:12" s="9" customFormat="1" ht="26.25" customHeight="1" thickBot="1" x14ac:dyDescent="0.25">
      <c r="A97" s="126">
        <v>35</v>
      </c>
      <c r="B97" s="183" t="s">
        <v>556</v>
      </c>
      <c r="C97" s="175"/>
      <c r="D97" s="186"/>
      <c r="E97" s="187"/>
      <c r="F97" s="187"/>
      <c r="G97" s="219"/>
      <c r="H97" s="17"/>
      <c r="I97" s="18"/>
      <c r="J97" s="18"/>
      <c r="K97" s="19"/>
      <c r="L97" s="185"/>
    </row>
    <row r="99" spans="1:12" ht="15.75" thickBot="1" x14ac:dyDescent="0.3"/>
    <row r="100" spans="1:12" x14ac:dyDescent="0.25">
      <c r="B100" s="276" t="s">
        <v>555</v>
      </c>
      <c r="C100" s="279">
        <f>C8+C10+C12+C14+C17+C19+C22+C25+C28+C31+C34+C37+C39+C41+C43+C45+C48+C50+C53+C55+C58+C61+C64+C67+C70+C73+C75+C78+C81+C83+C86+C89+C92+C95</f>
        <v>91821818.510000005</v>
      </c>
      <c r="D100" s="279">
        <f t="shared" ref="D100:K100" si="21">D8+D10+D12+D14+D17+D19+D22+D25+D28+D31+D34+D37+D39+D41+D43+D45+D48+D50+D53+D55+D58+D61+D64+D67+D70+D73+D75+D78+D81+D83+D86+D89+D92+D95</f>
        <v>91821818.510000005</v>
      </c>
      <c r="E100" s="279">
        <f t="shared" si="21"/>
        <v>83309768.574418768</v>
      </c>
      <c r="F100" s="279">
        <f t="shared" si="21"/>
        <v>4591090.9275000002</v>
      </c>
      <c r="G100" s="279">
        <f t="shared" si="21"/>
        <v>3920959.0080812383</v>
      </c>
      <c r="H100" s="279">
        <f t="shared" si="21"/>
        <v>91821818.510000005</v>
      </c>
      <c r="I100" s="279">
        <f t="shared" si="21"/>
        <v>84121609.190000013</v>
      </c>
      <c r="J100" s="279">
        <f t="shared" si="21"/>
        <v>4591090.93</v>
      </c>
      <c r="K100" s="277">
        <f t="shared" si="21"/>
        <v>3109118.39</v>
      </c>
      <c r="L100" s="2">
        <v>18</v>
      </c>
    </row>
    <row r="101" spans="1:12" x14ac:dyDescent="0.25">
      <c r="B101" s="281" t="s">
        <v>67</v>
      </c>
      <c r="C101" s="12">
        <f t="shared" ref="C101:K101" si="22">C15+C20+C23+C26+C29+C32+C35+C46+C51+C56+C59+C62+C65+C68+C71+C76+C79+C84+C87+C90+C93+C96+C97</f>
        <v>1622485.6700000002</v>
      </c>
      <c r="D101" s="12">
        <f t="shared" si="22"/>
        <v>1622485.6700000002</v>
      </c>
      <c r="E101" s="12">
        <f t="shared" si="22"/>
        <v>1193500.4588520003</v>
      </c>
      <c r="F101" s="12">
        <f t="shared" si="22"/>
        <v>81124.283500000005</v>
      </c>
      <c r="G101" s="12">
        <f t="shared" si="22"/>
        <v>347860.92764800001</v>
      </c>
      <c r="H101" s="12">
        <f t="shared" si="22"/>
        <v>1622485.6700000002</v>
      </c>
      <c r="I101" s="12">
        <f t="shared" si="22"/>
        <v>1193500.4600000002</v>
      </c>
      <c r="J101" s="12">
        <f t="shared" si="22"/>
        <v>81124.28</v>
      </c>
      <c r="K101" s="16">
        <f t="shared" si="22"/>
        <v>347860.92999999988</v>
      </c>
      <c r="L101" s="2">
        <v>22</v>
      </c>
    </row>
    <row r="102" spans="1:12" ht="15.75" thickBot="1" x14ac:dyDescent="0.3">
      <c r="B102" s="282" t="s">
        <v>625</v>
      </c>
      <c r="C102" s="18">
        <f t="shared" ref="C102:K102" si="23">SUM(C100:C101)</f>
        <v>93444304.180000007</v>
      </c>
      <c r="D102" s="18">
        <f t="shared" si="23"/>
        <v>93444304.180000007</v>
      </c>
      <c r="E102" s="18">
        <f t="shared" si="23"/>
        <v>84503269.033270761</v>
      </c>
      <c r="F102" s="18">
        <f t="shared" si="23"/>
        <v>4672215.2110000001</v>
      </c>
      <c r="G102" s="18">
        <f t="shared" si="23"/>
        <v>4268819.9357292382</v>
      </c>
      <c r="H102" s="18">
        <f t="shared" si="23"/>
        <v>93444304.180000007</v>
      </c>
      <c r="I102" s="18">
        <f t="shared" si="23"/>
        <v>85315109.650000006</v>
      </c>
      <c r="J102" s="18">
        <f t="shared" si="23"/>
        <v>4672215.21</v>
      </c>
      <c r="K102" s="19">
        <f t="shared" si="23"/>
        <v>3456979.32</v>
      </c>
    </row>
    <row r="103" spans="1:12" x14ac:dyDescent="0.25">
      <c r="B103" s="71"/>
      <c r="C103" s="96">
        <f t="shared" ref="C103:K103" si="24">C6</f>
        <v>93444304.180000007</v>
      </c>
      <c r="D103" s="96">
        <f t="shared" si="24"/>
        <v>93444304.180000007</v>
      </c>
      <c r="E103" s="96">
        <f t="shared" si="24"/>
        <v>84503269.033270776</v>
      </c>
      <c r="F103" s="96">
        <f t="shared" si="24"/>
        <v>4672215.2109999992</v>
      </c>
      <c r="G103" s="96">
        <f t="shared" si="24"/>
        <v>4268819.9357292391</v>
      </c>
      <c r="H103" s="96">
        <f t="shared" si="24"/>
        <v>93444304.180000007</v>
      </c>
      <c r="I103" s="96">
        <f t="shared" si="24"/>
        <v>85315109.650000021</v>
      </c>
      <c r="J103" s="96">
        <f t="shared" si="24"/>
        <v>4672215.209999999</v>
      </c>
      <c r="K103" s="96">
        <f t="shared" si="24"/>
        <v>3456979.32</v>
      </c>
    </row>
    <row r="104" spans="1:12" x14ac:dyDescent="0.25">
      <c r="B104" s="96" t="s">
        <v>627</v>
      </c>
      <c r="C104" s="96">
        <f t="shared" ref="C104:K104" si="25">C102-C103</f>
        <v>0</v>
      </c>
      <c r="D104" s="96">
        <f t="shared" si="25"/>
        <v>0</v>
      </c>
      <c r="E104" s="96">
        <f t="shared" si="25"/>
        <v>0</v>
      </c>
      <c r="F104" s="96">
        <f t="shared" si="25"/>
        <v>0</v>
      </c>
      <c r="G104" s="96">
        <f t="shared" si="25"/>
        <v>0</v>
      </c>
      <c r="H104" s="96">
        <f t="shared" si="25"/>
        <v>0</v>
      </c>
      <c r="I104" s="96">
        <f t="shared" si="25"/>
        <v>0</v>
      </c>
      <c r="J104" s="96">
        <f t="shared" si="25"/>
        <v>0</v>
      </c>
      <c r="K104" s="96">
        <f t="shared" si="25"/>
        <v>0</v>
      </c>
    </row>
  </sheetData>
  <autoFilter ref="A6:M97"/>
  <mergeCells count="7">
    <mergeCell ref="A1:L3"/>
    <mergeCell ref="D4:G4"/>
    <mergeCell ref="H4:K4"/>
    <mergeCell ref="L4:L5"/>
    <mergeCell ref="B4:B5"/>
    <mergeCell ref="A4:A5"/>
    <mergeCell ref="C4:C5"/>
  </mergeCells>
  <pageMargins left="0.25" right="0.25" top="0.75" bottom="0.75" header="0.3" footer="0.3"/>
  <pageSetup paperSize="9" scale="50" orientation="landscape" r:id="rId1"/>
  <rowBreaks count="2" manualBreakCount="2">
    <brk id="35" max="16" man="1"/>
    <brk id="76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5"/>
  </sheetPr>
  <dimension ref="A1:M95"/>
  <sheetViews>
    <sheetView view="pageBreakPreview" zoomScale="70" zoomScaleNormal="70" zoomScaleSheetLayoutView="70" workbookViewId="0">
      <selection sqref="A1:L3"/>
    </sheetView>
  </sheetViews>
  <sheetFormatPr defaultColWidth="9.140625" defaultRowHeight="15" outlineLevelRow="1" x14ac:dyDescent="0.25"/>
  <cols>
    <col min="1" max="1" width="4.42578125" style="169" customWidth="1"/>
    <col min="2" max="2" width="41.85546875" style="71" customWidth="1"/>
    <col min="3" max="3" width="15.42578125" style="62" customWidth="1"/>
    <col min="4" max="4" width="14.7109375" style="62" bestFit="1" customWidth="1"/>
    <col min="5" max="6" width="15.28515625" style="62" customWidth="1"/>
    <col min="7" max="7" width="15.85546875" style="62" customWidth="1"/>
    <col min="8" max="8" width="14.7109375" style="62" bestFit="1" customWidth="1"/>
    <col min="9" max="10" width="15.42578125" style="62" customWidth="1"/>
    <col min="11" max="11" width="15.85546875" style="62" customWidth="1"/>
    <col min="12" max="12" width="24" style="62" customWidth="1"/>
    <col min="13" max="13" width="19.5703125" style="62" customWidth="1"/>
    <col min="14" max="14" width="9.140625" style="62"/>
    <col min="15" max="15" width="10.7109375" style="62" bestFit="1" customWidth="1"/>
    <col min="16" max="16384" width="9.140625" style="62"/>
  </cols>
  <sheetData>
    <row r="1" spans="1:12" x14ac:dyDescent="0.25">
      <c r="A1" s="784" t="s">
        <v>888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</row>
    <row r="2" spans="1:12" x14ac:dyDescent="0.25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</row>
    <row r="3" spans="1:12" ht="15.75" thickBot="1" x14ac:dyDescent="0.3">
      <c r="A3" s="785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1:12" s="61" customFormat="1" ht="32.25" customHeight="1" x14ac:dyDescent="0.25">
      <c r="A4" s="786" t="s">
        <v>0</v>
      </c>
      <c r="B4" s="788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</row>
    <row r="5" spans="1:12" s="61" customFormat="1" ht="52.5" customHeight="1" thickBot="1" x14ac:dyDescent="0.3">
      <c r="A5" s="810"/>
      <c r="B5" s="811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</row>
    <row r="6" spans="1:12" s="61" customFormat="1" ht="36.75" customHeight="1" thickBot="1" x14ac:dyDescent="0.3">
      <c r="A6" s="808" t="s">
        <v>22</v>
      </c>
      <c r="B6" s="809"/>
      <c r="C6" s="433">
        <f>C7+C10+C13+C16+C19+C22+C25+C28+C31+C34+C37+C40+C43+C46+C49+C51+C54+C57+C59+C61+C63+C66+C69+C72+C75+C78+C81+C84</f>
        <v>28179578.339999996</v>
      </c>
      <c r="D6" s="434">
        <f>E6+F6+G6</f>
        <v>28179578.34</v>
      </c>
      <c r="E6" s="431">
        <f>E7+E10+E13+E16+E19+E22+E25+E28+E31+E34+E37+E40+E43+E46+E49+E51+E54+E57+E59+E61+E63+E66+E69+E72+E75+E78+E81+E84</f>
        <v>22344159.489349201</v>
      </c>
      <c r="F6" s="431">
        <f>F7+F10+F13+F16+F19+F22+F25+F28+F31+F34+F37+F40+F43+F46+F49+F51+F54+F57+F59+F61+F63+F66+F69+F72+F75+F78+F81+F84</f>
        <v>1408978.9170000001</v>
      </c>
      <c r="G6" s="432">
        <f>G7+G10+G13+G16+G19+G22+G25+G28+G31+G34+G37+G40+G43+G46+G49+G51+G54+G57+G59+G61+G63+G66+G69+G72+G75+G78+G81+G84</f>
        <v>4426439.9336508</v>
      </c>
      <c r="H6" s="434">
        <f>I6+J6+K6</f>
        <v>28179578.340000004</v>
      </c>
      <c r="I6" s="435">
        <f>I7+I10+I13+I16+I19+I22+I25+I28+I31+I34+I37+I40+I43+I46+I49+I51+I54+I57+I59+I61+I63+I66+I69+I72+I75+I78+I81+I84</f>
        <v>22378674.380000003</v>
      </c>
      <c r="J6" s="435">
        <f>J7+J10+J13+J16+J19+J22+J25+J28+J31+J34+J37+J40+J43+J46+J49+J51+J54+J57+J59+J61+J63+J66+J69+J72+J75+J78+J81+J84</f>
        <v>1408978.92</v>
      </c>
      <c r="K6" s="436">
        <f>K7+K10+K13+K16+K19+K22+K25+K28+K31+K34+K37+K40+K43+K46+K49+K51+K54+K57+K59+K61+K63+K66+K69+K72+K75+K78+K81+K84</f>
        <v>4391925.040000001</v>
      </c>
      <c r="L6" s="437"/>
    </row>
    <row r="7" spans="1:12" s="68" customFormat="1" ht="31.5" customHeight="1" x14ac:dyDescent="0.2">
      <c r="A7" s="430">
        <v>1</v>
      </c>
      <c r="B7" s="429" t="s">
        <v>44</v>
      </c>
      <c r="C7" s="428">
        <f>SUM(C8:C9)</f>
        <v>62339.32</v>
      </c>
      <c r="D7" s="221">
        <f>SUM(E7:G7)</f>
        <v>62339.32</v>
      </c>
      <c r="E7" s="427">
        <f>SUM(E8:E9)</f>
        <v>45856.803791999999</v>
      </c>
      <c r="F7" s="427">
        <f>SUM(F8:F9)</f>
        <v>3116.9660000000003</v>
      </c>
      <c r="G7" s="429">
        <f>SUM(G8:G9)</f>
        <v>13365.550208000001</v>
      </c>
      <c r="H7" s="557">
        <f>SUM(I7:K7)</f>
        <v>62339.320000000007</v>
      </c>
      <c r="I7" s="427">
        <f>SUM(I8:I9)</f>
        <v>45856.800000000003</v>
      </c>
      <c r="J7" s="427">
        <f>SUM(J8:J9)</f>
        <v>3116.97</v>
      </c>
      <c r="K7" s="438">
        <f>SUM(K8:K9)</f>
        <v>13365.55</v>
      </c>
      <c r="L7" s="558"/>
    </row>
    <row r="8" spans="1:12" outlineLevel="1" x14ac:dyDescent="0.25">
      <c r="A8" s="168"/>
      <c r="B8" s="16" t="s">
        <v>561</v>
      </c>
      <c r="C8" s="27"/>
      <c r="D8" s="222"/>
      <c r="E8" s="11"/>
      <c r="F8" s="11"/>
      <c r="G8" s="106"/>
      <c r="H8" s="222"/>
      <c r="I8" s="11"/>
      <c r="J8" s="11"/>
      <c r="K8" s="106"/>
      <c r="L8" s="27"/>
    </row>
    <row r="9" spans="1:12" s="364" customFormat="1" outlineLevel="1" x14ac:dyDescent="0.25">
      <c r="A9" s="397"/>
      <c r="B9" s="248" t="s">
        <v>67</v>
      </c>
      <c r="C9" s="270">
        <v>62339.32</v>
      </c>
      <c r="D9" s="259">
        <f t="shared" ref="D9" si="0">E9+F9+G9</f>
        <v>62339.32</v>
      </c>
      <c r="E9" s="250">
        <f>C9*0.7356</f>
        <v>45856.803791999999</v>
      </c>
      <c r="F9" s="250">
        <f>C9*5%</f>
        <v>3116.9660000000003</v>
      </c>
      <c r="G9" s="251">
        <f>C9-E9-F9</f>
        <v>13365.550208000001</v>
      </c>
      <c r="H9" s="389">
        <f>I9+J9+K9</f>
        <v>62339.320000000007</v>
      </c>
      <c r="I9" s="257">
        <v>45856.800000000003</v>
      </c>
      <c r="J9" s="257">
        <v>3116.97</v>
      </c>
      <c r="K9" s="269">
        <v>13365.55</v>
      </c>
      <c r="L9" s="270" t="s">
        <v>695</v>
      </c>
    </row>
    <row r="10" spans="1:12" s="68" customFormat="1" ht="32.25" customHeight="1" x14ac:dyDescent="0.2">
      <c r="A10" s="167">
        <v>2</v>
      </c>
      <c r="B10" s="80" t="s">
        <v>45</v>
      </c>
      <c r="C10" s="63">
        <f>SUM(C11:C12)</f>
        <v>0</v>
      </c>
      <c r="D10" s="221">
        <f>SUM(E10:G10)</f>
        <v>0</v>
      </c>
      <c r="E10" s="75">
        <f>SUM(E11:E12)</f>
        <v>0</v>
      </c>
      <c r="F10" s="75">
        <f>SUM(F11:F12)</f>
        <v>0</v>
      </c>
      <c r="G10" s="80">
        <f>SUM(G11:G12)</f>
        <v>0</v>
      </c>
      <c r="H10" s="225">
        <f>I10+J10+K10</f>
        <v>0</v>
      </c>
      <c r="I10" s="75">
        <f>SUM(I11:I12)</f>
        <v>0</v>
      </c>
      <c r="J10" s="75">
        <f>SUM(J11:J12)</f>
        <v>0</v>
      </c>
      <c r="K10" s="80">
        <f>SUM(K11:K12)</f>
        <v>0</v>
      </c>
      <c r="L10" s="321"/>
    </row>
    <row r="11" spans="1:12" outlineLevel="1" x14ac:dyDescent="0.25">
      <c r="A11" s="168"/>
      <c r="B11" s="16" t="s">
        <v>557</v>
      </c>
      <c r="C11" s="27"/>
      <c r="D11" s="222"/>
      <c r="E11" s="11"/>
      <c r="F11" s="11"/>
      <c r="G11" s="106"/>
      <c r="H11" s="222"/>
      <c r="I11" s="11"/>
      <c r="J11" s="11"/>
      <c r="K11" s="106"/>
      <c r="L11" s="27"/>
    </row>
    <row r="12" spans="1:12" outlineLevel="1" x14ac:dyDescent="0.25">
      <c r="A12" s="168"/>
      <c r="B12" s="16" t="s">
        <v>67</v>
      </c>
      <c r="C12" s="27"/>
      <c r="D12" s="222"/>
      <c r="E12" s="11"/>
      <c r="F12" s="11"/>
      <c r="G12" s="106"/>
      <c r="H12" s="222"/>
      <c r="I12" s="11"/>
      <c r="J12" s="11"/>
      <c r="K12" s="106"/>
      <c r="L12" s="27"/>
    </row>
    <row r="13" spans="1:12" s="566" customFormat="1" ht="26.25" customHeight="1" x14ac:dyDescent="0.2">
      <c r="A13" s="529">
        <v>3</v>
      </c>
      <c r="B13" s="247" t="s">
        <v>306</v>
      </c>
      <c r="C13" s="290">
        <f>SUM(C14:C15)</f>
        <v>3556738.81</v>
      </c>
      <c r="D13" s="564">
        <f>SUM(E13:G13)</f>
        <v>3556738.81</v>
      </c>
      <c r="E13" s="289">
        <f>SUM(E14:E15)</f>
        <v>2944757.4792580004</v>
      </c>
      <c r="F13" s="289">
        <f>SUM(F14:F15)</f>
        <v>177836.94050000003</v>
      </c>
      <c r="G13" s="247">
        <f>SUM(G14:G15)</f>
        <v>434144.3902419997</v>
      </c>
      <c r="H13" s="564">
        <f>I13+J13+K13</f>
        <v>3556738.81</v>
      </c>
      <c r="I13" s="289">
        <f>SUM(I14:I15)</f>
        <v>2950812.79</v>
      </c>
      <c r="J13" s="289">
        <f>SUM(J14:J15)</f>
        <v>177836.94000000003</v>
      </c>
      <c r="K13" s="247">
        <f>SUM(K14:K15)</f>
        <v>428089.07999999996</v>
      </c>
      <c r="L13" s="565"/>
    </row>
    <row r="14" spans="1:12" s="364" customFormat="1" outlineLevel="1" x14ac:dyDescent="0.25">
      <c r="A14" s="397"/>
      <c r="B14" s="248" t="s">
        <v>555</v>
      </c>
      <c r="C14" s="270">
        <v>3492348.0500000003</v>
      </c>
      <c r="D14" s="259">
        <f t="shared" ref="D14" si="1">E14+F14+G14</f>
        <v>3492348.0500000003</v>
      </c>
      <c r="E14" s="250">
        <f>C14*0.82964</f>
        <v>2897391.6362020005</v>
      </c>
      <c r="F14" s="250">
        <f>C14*5%</f>
        <v>174617.40250000003</v>
      </c>
      <c r="G14" s="251">
        <f>C14-E14-F14</f>
        <v>420339.01129799971</v>
      </c>
      <c r="H14" s="389">
        <f>I14+J14+K14</f>
        <v>3492348.05</v>
      </c>
      <c r="I14" s="257">
        <f>2617992.91+285454.04</f>
        <v>2903446.95</v>
      </c>
      <c r="J14" s="257">
        <f>157449.79+17167.61</f>
        <v>174617.40000000002</v>
      </c>
      <c r="K14" s="269">
        <f>373553.16+40730.54</f>
        <v>414283.69999999995</v>
      </c>
      <c r="L14" s="270" t="s">
        <v>733</v>
      </c>
    </row>
    <row r="15" spans="1:12" s="364" customFormat="1" outlineLevel="1" x14ac:dyDescent="0.25">
      <c r="A15" s="397"/>
      <c r="B15" s="248" t="s">
        <v>67</v>
      </c>
      <c r="C15" s="270">
        <v>64390.76</v>
      </c>
      <c r="D15" s="259">
        <f t="shared" ref="D15" si="2">E15+F15+G15</f>
        <v>64390.76</v>
      </c>
      <c r="E15" s="250">
        <f>C15*0.7356</f>
        <v>47365.843056000005</v>
      </c>
      <c r="F15" s="250">
        <f>C15*5%</f>
        <v>3219.5380000000005</v>
      </c>
      <c r="G15" s="251">
        <f>C15-E15-F15</f>
        <v>13805.378943999996</v>
      </c>
      <c r="H15" s="259">
        <f t="shared" ref="H15" si="3">I15+J15+K15</f>
        <v>64390.759999999995</v>
      </c>
      <c r="I15" s="257">
        <v>47365.84</v>
      </c>
      <c r="J15" s="257">
        <v>3219.54</v>
      </c>
      <c r="K15" s="269">
        <v>13805.38</v>
      </c>
      <c r="L15" s="270" t="s">
        <v>664</v>
      </c>
    </row>
    <row r="16" spans="1:12" s="68" customFormat="1" ht="27.75" customHeight="1" x14ac:dyDescent="0.2">
      <c r="A16" s="167">
        <v>4</v>
      </c>
      <c r="B16" s="80" t="s">
        <v>307</v>
      </c>
      <c r="C16" s="63">
        <f>SUM(C17:C18)</f>
        <v>67800.11</v>
      </c>
      <c r="D16" s="221">
        <f>SUM(E16:G16)</f>
        <v>67800.11</v>
      </c>
      <c r="E16" s="75">
        <f>SUM(E17:E18)</f>
        <v>49873.760915999999</v>
      </c>
      <c r="F16" s="75">
        <f>SUM(F17:F18)</f>
        <v>3390.0055000000002</v>
      </c>
      <c r="G16" s="80">
        <f>SUM(G17:G18)</f>
        <v>14536.343584000002</v>
      </c>
      <c r="H16" s="221">
        <f>SUM(I16:K16)</f>
        <v>67800.11</v>
      </c>
      <c r="I16" s="75">
        <f>SUM(I17:I18)</f>
        <v>49873.760000000002</v>
      </c>
      <c r="J16" s="75">
        <f>SUM(J17:J18)</f>
        <v>3390.01</v>
      </c>
      <c r="K16" s="80">
        <f>SUM(K17:K18)</f>
        <v>14536.34</v>
      </c>
      <c r="L16" s="321"/>
    </row>
    <row r="17" spans="1:12" outlineLevel="1" x14ac:dyDescent="0.25">
      <c r="A17" s="168"/>
      <c r="B17" s="16" t="s">
        <v>557</v>
      </c>
      <c r="C17" s="27"/>
      <c r="D17" s="222"/>
      <c r="E17" s="11"/>
      <c r="F17" s="11"/>
      <c r="G17" s="106"/>
      <c r="H17" s="222"/>
      <c r="I17" s="11"/>
      <c r="J17" s="11"/>
      <c r="K17" s="106"/>
      <c r="L17" s="27"/>
    </row>
    <row r="18" spans="1:12" s="364" customFormat="1" outlineLevel="1" x14ac:dyDescent="0.25">
      <c r="A18" s="397"/>
      <c r="B18" s="248" t="s">
        <v>67</v>
      </c>
      <c r="C18" s="270">
        <v>67800.11</v>
      </c>
      <c r="D18" s="259">
        <f t="shared" ref="D18" si="4">E18+F18+G18</f>
        <v>67800.11</v>
      </c>
      <c r="E18" s="250">
        <f>C18*0.7356</f>
        <v>49873.760915999999</v>
      </c>
      <c r="F18" s="250">
        <f>C18*5%</f>
        <v>3390.0055000000002</v>
      </c>
      <c r="G18" s="251">
        <f>C18-E18-F18</f>
        <v>14536.343584000002</v>
      </c>
      <c r="H18" s="259">
        <f t="shared" ref="H18" si="5">I18+J18+K18</f>
        <v>67800.11</v>
      </c>
      <c r="I18" s="257">
        <v>49873.760000000002</v>
      </c>
      <c r="J18" s="257">
        <v>3390.01</v>
      </c>
      <c r="K18" s="269">
        <v>14536.34</v>
      </c>
      <c r="L18" s="270" t="s">
        <v>664</v>
      </c>
    </row>
    <row r="19" spans="1:12" s="68" customFormat="1" ht="33" customHeight="1" x14ac:dyDescent="0.2">
      <c r="A19" s="167">
        <v>5</v>
      </c>
      <c r="B19" s="80" t="s">
        <v>308</v>
      </c>
      <c r="C19" s="63">
        <f>SUM(C20:C21)</f>
        <v>104753.15</v>
      </c>
      <c r="D19" s="221">
        <f>SUM(E19:G19)</f>
        <v>104753.15</v>
      </c>
      <c r="E19" s="75">
        <f>SUM(E20:E21)</f>
        <v>77056.417140000005</v>
      </c>
      <c r="F19" s="75">
        <f>SUM(F20:F21)</f>
        <v>5237.6575000000003</v>
      </c>
      <c r="G19" s="80">
        <f>SUM(G20:G21)</f>
        <v>22459.075359999988</v>
      </c>
      <c r="H19" s="225">
        <f>I19+J19+K19</f>
        <v>104753.15</v>
      </c>
      <c r="I19" s="75">
        <f>SUM(I20:I21)</f>
        <v>77056.42</v>
      </c>
      <c r="J19" s="75">
        <f>SUM(J20:J21)</f>
        <v>5237.66</v>
      </c>
      <c r="K19" s="80">
        <f>SUM(K20:K21)</f>
        <v>22459.07</v>
      </c>
      <c r="L19" s="321"/>
    </row>
    <row r="20" spans="1:12" outlineLevel="1" x14ac:dyDescent="0.25">
      <c r="A20" s="168"/>
      <c r="B20" s="16" t="s">
        <v>557</v>
      </c>
      <c r="C20" s="27"/>
      <c r="D20" s="222"/>
      <c r="E20" s="11"/>
      <c r="F20" s="11"/>
      <c r="G20" s="106"/>
      <c r="H20" s="222"/>
      <c r="I20" s="11"/>
      <c r="J20" s="11"/>
      <c r="K20" s="106"/>
      <c r="L20" s="27"/>
    </row>
    <row r="21" spans="1:12" s="364" customFormat="1" outlineLevel="1" x14ac:dyDescent="0.25">
      <c r="A21" s="397"/>
      <c r="B21" s="248" t="s">
        <v>67</v>
      </c>
      <c r="C21" s="270">
        <v>104753.15</v>
      </c>
      <c r="D21" s="259">
        <f t="shared" ref="D21" si="6">E21+F21+G21</f>
        <v>104753.15</v>
      </c>
      <c r="E21" s="250">
        <f>C21*0.7356</f>
        <v>77056.417140000005</v>
      </c>
      <c r="F21" s="250">
        <f>C21*5%</f>
        <v>5237.6575000000003</v>
      </c>
      <c r="G21" s="251">
        <f>C21-E21-F21</f>
        <v>22459.075359999988</v>
      </c>
      <c r="H21" s="259">
        <f t="shared" ref="H21" si="7">I21+J21+K21</f>
        <v>104753.15</v>
      </c>
      <c r="I21" s="257">
        <v>77056.42</v>
      </c>
      <c r="J21" s="257">
        <v>5237.66</v>
      </c>
      <c r="K21" s="269">
        <v>22459.07</v>
      </c>
      <c r="L21" s="270" t="s">
        <v>664</v>
      </c>
    </row>
    <row r="22" spans="1:12" s="68" customFormat="1" ht="33.75" customHeight="1" x14ac:dyDescent="0.2">
      <c r="A22" s="167">
        <v>6</v>
      </c>
      <c r="B22" s="80" t="s">
        <v>305</v>
      </c>
      <c r="C22" s="63">
        <f>SUM(C23:C24)</f>
        <v>104416.71</v>
      </c>
      <c r="D22" s="221">
        <f>SUM(E22:G22)</f>
        <v>104416.71</v>
      </c>
      <c r="E22" s="75">
        <f>SUM(E23:E24)</f>
        <v>76808.931876000002</v>
      </c>
      <c r="F22" s="75">
        <f>SUM(F23:F24)</f>
        <v>5220.835500000001</v>
      </c>
      <c r="G22" s="80">
        <f>SUM(G23:G24)</f>
        <v>22386.942624000003</v>
      </c>
      <c r="H22" s="225">
        <f>I22+J22+K22</f>
        <v>104416.70999999999</v>
      </c>
      <c r="I22" s="75">
        <f>SUM(I23:I24)</f>
        <v>76808.929999999993</v>
      </c>
      <c r="J22" s="75">
        <f>SUM(J23:J24)</f>
        <v>5220.84</v>
      </c>
      <c r="K22" s="80">
        <f>SUM(K23:K24)</f>
        <v>22386.94</v>
      </c>
      <c r="L22" s="321"/>
    </row>
    <row r="23" spans="1:12" outlineLevel="1" x14ac:dyDescent="0.25">
      <c r="A23" s="168"/>
      <c r="B23" s="16" t="s">
        <v>557</v>
      </c>
      <c r="C23" s="27"/>
      <c r="D23" s="222"/>
      <c r="E23" s="11"/>
      <c r="F23" s="11"/>
      <c r="G23" s="106"/>
      <c r="H23" s="222"/>
      <c r="I23" s="11"/>
      <c r="J23" s="11"/>
      <c r="K23" s="106"/>
      <c r="L23" s="27"/>
    </row>
    <row r="24" spans="1:12" s="364" customFormat="1" outlineLevel="1" x14ac:dyDescent="0.25">
      <c r="A24" s="397"/>
      <c r="B24" s="248" t="s">
        <v>67</v>
      </c>
      <c r="C24" s="270">
        <v>104416.71</v>
      </c>
      <c r="D24" s="259">
        <f t="shared" ref="D24" si="8">E24+F24+G24</f>
        <v>104416.71</v>
      </c>
      <c r="E24" s="250">
        <f>C24*0.7356</f>
        <v>76808.931876000002</v>
      </c>
      <c r="F24" s="250">
        <f>C24*5%</f>
        <v>5220.835500000001</v>
      </c>
      <c r="G24" s="251">
        <f>C24-E24-F24</f>
        <v>22386.942624000003</v>
      </c>
      <c r="H24" s="259">
        <f t="shared" ref="H24" si="9">I24+J24+K24</f>
        <v>104416.70999999999</v>
      </c>
      <c r="I24" s="257">
        <v>76808.929999999993</v>
      </c>
      <c r="J24" s="257">
        <v>5220.84</v>
      </c>
      <c r="K24" s="269">
        <v>22386.94</v>
      </c>
      <c r="L24" s="270" t="s">
        <v>664</v>
      </c>
    </row>
    <row r="25" spans="1:12" s="68" customFormat="1" ht="27" customHeight="1" x14ac:dyDescent="0.2">
      <c r="A25" s="167">
        <v>7</v>
      </c>
      <c r="B25" s="80" t="s">
        <v>310</v>
      </c>
      <c r="C25" s="63">
        <f>SUM(C26:C27)</f>
        <v>105654.75</v>
      </c>
      <c r="D25" s="221">
        <f>SUM(E25:G25)</f>
        <v>105654.75</v>
      </c>
      <c r="E25" s="75">
        <f>SUM(E26:E27)</f>
        <v>77719.63410000001</v>
      </c>
      <c r="F25" s="75">
        <f>SUM(F26:F27)</f>
        <v>5282.7375000000002</v>
      </c>
      <c r="G25" s="80">
        <f>SUM(G26:G27)</f>
        <v>22652.378399999991</v>
      </c>
      <c r="H25" s="225">
        <f>I25+J25+K25</f>
        <v>105654.75000000001</v>
      </c>
      <c r="I25" s="75">
        <f>SUM(I26:I27)</f>
        <v>77719.63</v>
      </c>
      <c r="J25" s="75">
        <f>SUM(J26:J27)</f>
        <v>5282.74</v>
      </c>
      <c r="K25" s="80">
        <f>SUM(K26:K27)</f>
        <v>22652.38</v>
      </c>
      <c r="L25" s="321"/>
    </row>
    <row r="26" spans="1:12" outlineLevel="1" x14ac:dyDescent="0.25">
      <c r="A26" s="168"/>
      <c r="B26" s="16" t="s">
        <v>557</v>
      </c>
      <c r="C26" s="27"/>
      <c r="D26" s="222"/>
      <c r="E26" s="11"/>
      <c r="F26" s="11"/>
      <c r="G26" s="106"/>
      <c r="H26" s="222"/>
      <c r="I26" s="11"/>
      <c r="J26" s="11"/>
      <c r="K26" s="106"/>
      <c r="L26" s="27"/>
    </row>
    <row r="27" spans="1:12" s="364" customFormat="1" outlineLevel="1" x14ac:dyDescent="0.25">
      <c r="A27" s="397"/>
      <c r="B27" s="248" t="s">
        <v>67</v>
      </c>
      <c r="C27" s="270">
        <v>105654.75</v>
      </c>
      <c r="D27" s="259">
        <f t="shared" ref="D27" si="10">E27+F27+G27</f>
        <v>105654.75</v>
      </c>
      <c r="E27" s="250">
        <f>C27*0.7356</f>
        <v>77719.63410000001</v>
      </c>
      <c r="F27" s="250">
        <f>C27*5%</f>
        <v>5282.7375000000002</v>
      </c>
      <c r="G27" s="251">
        <f>C27-E27-F27</f>
        <v>22652.378399999991</v>
      </c>
      <c r="H27" s="259">
        <f>I27+J27+K27</f>
        <v>105654.75000000001</v>
      </c>
      <c r="I27" s="257">
        <v>77719.63</v>
      </c>
      <c r="J27" s="257">
        <v>5282.74</v>
      </c>
      <c r="K27" s="269">
        <v>22652.38</v>
      </c>
      <c r="L27" s="270" t="s">
        <v>664</v>
      </c>
    </row>
    <row r="28" spans="1:12" s="68" customFormat="1" ht="30" customHeight="1" x14ac:dyDescent="0.2">
      <c r="A28" s="167">
        <v>8</v>
      </c>
      <c r="B28" s="80" t="s">
        <v>582</v>
      </c>
      <c r="C28" s="63">
        <f>SUM(C29:C30)</f>
        <v>103963.03</v>
      </c>
      <c r="D28" s="221">
        <f>SUM(E28:G28)</f>
        <v>103963.03</v>
      </c>
      <c r="E28" s="75">
        <f>SUM(E29:E30)</f>
        <v>76475.204868000001</v>
      </c>
      <c r="F28" s="75">
        <f>SUM(F29:F30)</f>
        <v>5198.1514999999999</v>
      </c>
      <c r="G28" s="80">
        <f>SUM(G29:G30)</f>
        <v>22289.673631999998</v>
      </c>
      <c r="H28" s="225">
        <f>I28+J28+K28</f>
        <v>103963.03</v>
      </c>
      <c r="I28" s="75">
        <f>SUM(I29:I30)</f>
        <v>76475.199999999997</v>
      </c>
      <c r="J28" s="75">
        <f>SUM(J29:J30)</f>
        <v>5198.16</v>
      </c>
      <c r="K28" s="80">
        <f>SUM(K29:K30)</f>
        <v>22289.67</v>
      </c>
      <c r="L28" s="321"/>
    </row>
    <row r="29" spans="1:12" outlineLevel="1" x14ac:dyDescent="0.25">
      <c r="A29" s="168"/>
      <c r="B29" s="16" t="s">
        <v>557</v>
      </c>
      <c r="C29" s="27"/>
      <c r="D29" s="222"/>
      <c r="E29" s="11"/>
      <c r="F29" s="11"/>
      <c r="G29" s="106"/>
      <c r="H29" s="222"/>
      <c r="I29" s="11"/>
      <c r="J29" s="11"/>
      <c r="K29" s="106"/>
      <c r="L29" s="27"/>
    </row>
    <row r="30" spans="1:12" s="364" customFormat="1" outlineLevel="1" x14ac:dyDescent="0.25">
      <c r="A30" s="397"/>
      <c r="B30" s="248" t="s">
        <v>67</v>
      </c>
      <c r="C30" s="270">
        <v>103963.03</v>
      </c>
      <c r="D30" s="259">
        <f t="shared" ref="D30" si="11">E30+F30+G30</f>
        <v>103963.03</v>
      </c>
      <c r="E30" s="250">
        <f>C30*0.7356</f>
        <v>76475.204868000001</v>
      </c>
      <c r="F30" s="250">
        <f>C30*5%</f>
        <v>5198.1514999999999</v>
      </c>
      <c r="G30" s="251">
        <f>C30-E30-F30</f>
        <v>22289.673631999998</v>
      </c>
      <c r="H30" s="259">
        <f t="shared" ref="H30" si="12">I30+J30+K30</f>
        <v>103963.03</v>
      </c>
      <c r="I30" s="257">
        <v>76475.199999999997</v>
      </c>
      <c r="J30" s="257">
        <v>5198.16</v>
      </c>
      <c r="K30" s="269">
        <v>22289.67</v>
      </c>
      <c r="L30" s="270" t="s">
        <v>664</v>
      </c>
    </row>
    <row r="31" spans="1:12" s="68" customFormat="1" ht="32.25" customHeight="1" x14ac:dyDescent="0.2">
      <c r="A31" s="167">
        <v>9</v>
      </c>
      <c r="B31" s="80" t="s">
        <v>311</v>
      </c>
      <c r="C31" s="63">
        <f>SUM(C32:C33)</f>
        <v>102093.17</v>
      </c>
      <c r="D31" s="221">
        <f>SUM(E31:G31)</f>
        <v>102093.17</v>
      </c>
      <c r="E31" s="75">
        <f>SUM(E32:E33)</f>
        <v>75099.735851999998</v>
      </c>
      <c r="F31" s="75">
        <f>SUM(F32:F33)</f>
        <v>5104.6585000000005</v>
      </c>
      <c r="G31" s="80">
        <f>SUM(G32:G33)</f>
        <v>21888.775647999999</v>
      </c>
      <c r="H31" s="225">
        <f>I31+J31+K31</f>
        <v>102093.17</v>
      </c>
      <c r="I31" s="75">
        <f>SUM(I32:I33)</f>
        <v>75099.740000000005</v>
      </c>
      <c r="J31" s="75">
        <f>SUM(J32:J33)</f>
        <v>5104.6499999999996</v>
      </c>
      <c r="K31" s="80">
        <f>SUM(K32:K33)</f>
        <v>21888.78</v>
      </c>
      <c r="L31" s="321"/>
    </row>
    <row r="32" spans="1:12" outlineLevel="1" x14ac:dyDescent="0.25">
      <c r="A32" s="168"/>
      <c r="B32" s="16" t="s">
        <v>557</v>
      </c>
      <c r="C32" s="27"/>
      <c r="D32" s="222"/>
      <c r="E32" s="11"/>
      <c r="F32" s="11"/>
      <c r="G32" s="106"/>
      <c r="H32" s="222"/>
      <c r="I32" s="11"/>
      <c r="J32" s="11"/>
      <c r="K32" s="106"/>
      <c r="L32" s="27"/>
    </row>
    <row r="33" spans="1:12" s="364" customFormat="1" outlineLevel="1" x14ac:dyDescent="0.25">
      <c r="A33" s="397"/>
      <c r="B33" s="248" t="s">
        <v>67</v>
      </c>
      <c r="C33" s="270">
        <v>102093.17</v>
      </c>
      <c r="D33" s="259">
        <f t="shared" ref="D33" si="13">E33+F33+G33</f>
        <v>102093.17</v>
      </c>
      <c r="E33" s="250">
        <f>C33*0.7356</f>
        <v>75099.735851999998</v>
      </c>
      <c r="F33" s="250">
        <f>C33*5%</f>
        <v>5104.6585000000005</v>
      </c>
      <c r="G33" s="251">
        <f>C33-E33-F33</f>
        <v>21888.775647999999</v>
      </c>
      <c r="H33" s="259">
        <f t="shared" ref="H33" si="14">I33+J33+K33</f>
        <v>102093.17</v>
      </c>
      <c r="I33" s="257">
        <v>75099.740000000005</v>
      </c>
      <c r="J33" s="257">
        <v>5104.6499999999996</v>
      </c>
      <c r="K33" s="269">
        <v>21888.78</v>
      </c>
      <c r="L33" s="270" t="s">
        <v>664</v>
      </c>
    </row>
    <row r="34" spans="1:12" s="566" customFormat="1" ht="30.75" customHeight="1" x14ac:dyDescent="0.2">
      <c r="A34" s="529">
        <v>10</v>
      </c>
      <c r="B34" s="247" t="s">
        <v>312</v>
      </c>
      <c r="C34" s="290">
        <f>SUM(C35:C36)</f>
        <v>4190222.93</v>
      </c>
      <c r="D34" s="564">
        <f>SUM(E34:G34)</f>
        <v>4190222.9299999997</v>
      </c>
      <c r="E34" s="289">
        <f>SUM(E35:E36)</f>
        <v>3466834.3814944001</v>
      </c>
      <c r="F34" s="289">
        <f>SUM(F35:F36)</f>
        <v>209511.14650000003</v>
      </c>
      <c r="G34" s="247">
        <f>SUM(G35:G36)</f>
        <v>513877.40200560004</v>
      </c>
      <c r="H34" s="564">
        <f>I34+J34+K34</f>
        <v>4190222.9299999997</v>
      </c>
      <c r="I34" s="289">
        <f>SUM(I35:I36)</f>
        <v>3476376.55</v>
      </c>
      <c r="J34" s="289">
        <f>SUM(J35:J36)</f>
        <v>209511.15</v>
      </c>
      <c r="K34" s="247">
        <f>SUM(K35:K36)</f>
        <v>504335.23</v>
      </c>
      <c r="L34" s="565"/>
    </row>
    <row r="35" spans="1:12" s="364" customFormat="1" outlineLevel="1" x14ac:dyDescent="0.25">
      <c r="A35" s="397"/>
      <c r="B35" s="248" t="s">
        <v>64</v>
      </c>
      <c r="C35" s="270">
        <v>4088753.66</v>
      </c>
      <c r="D35" s="259">
        <f t="shared" ref="D35" si="15">E35+F35+G35</f>
        <v>4088753.66</v>
      </c>
      <c r="E35" s="250">
        <f>C35*0.82964</f>
        <v>3392193.5864824001</v>
      </c>
      <c r="F35" s="250">
        <f>C35*5%</f>
        <v>204437.68300000002</v>
      </c>
      <c r="G35" s="251">
        <f>C35-E35-F35</f>
        <v>492122.39051760006</v>
      </c>
      <c r="H35" s="389">
        <f>I35+J35+K35</f>
        <v>4088753.66</v>
      </c>
      <c r="I35" s="257">
        <f>3057179.3+344556.45</f>
        <v>3401735.75</v>
      </c>
      <c r="J35" s="257">
        <f>183730.52+20707.17</f>
        <v>204437.69</v>
      </c>
      <c r="K35" s="269">
        <f>433700.43+48879.79</f>
        <v>482580.22</v>
      </c>
      <c r="L35" s="270" t="s">
        <v>733</v>
      </c>
    </row>
    <row r="36" spans="1:12" s="364" customFormat="1" outlineLevel="1" x14ac:dyDescent="0.25">
      <c r="A36" s="397"/>
      <c r="B36" s="248" t="s">
        <v>67</v>
      </c>
      <c r="C36" s="270">
        <v>101469.27</v>
      </c>
      <c r="D36" s="259">
        <f t="shared" ref="D36" si="16">E36+F36+G36</f>
        <v>101469.27</v>
      </c>
      <c r="E36" s="250">
        <f>C36*0.7356</f>
        <v>74640.795012000002</v>
      </c>
      <c r="F36" s="250">
        <f>C36*5%</f>
        <v>5073.4635000000007</v>
      </c>
      <c r="G36" s="251">
        <f>C36-E36-F36</f>
        <v>21755.011488</v>
      </c>
      <c r="H36" s="259">
        <f t="shared" ref="H36" si="17">I36+J36+K36</f>
        <v>101469.27</v>
      </c>
      <c r="I36" s="257">
        <v>74640.800000000003</v>
      </c>
      <c r="J36" s="257">
        <v>5073.46</v>
      </c>
      <c r="K36" s="269">
        <v>21755.01</v>
      </c>
      <c r="L36" s="270" t="s">
        <v>664</v>
      </c>
    </row>
    <row r="37" spans="1:12" s="68" customFormat="1" ht="33" customHeight="1" x14ac:dyDescent="0.2">
      <c r="A37" s="167">
        <v>11</v>
      </c>
      <c r="B37" s="80" t="s">
        <v>309</v>
      </c>
      <c r="C37" s="63">
        <f>SUM(C38:C39)</f>
        <v>101413.13</v>
      </c>
      <c r="D37" s="221">
        <f>SUM(E37:G37)</f>
        <v>101413.13</v>
      </c>
      <c r="E37" s="75">
        <f>SUM(E38:E39)</f>
        <v>74599.498428000006</v>
      </c>
      <c r="F37" s="75">
        <f>SUM(F38:F39)</f>
        <v>5070.656500000001</v>
      </c>
      <c r="G37" s="80">
        <f>SUM(G38:G39)</f>
        <v>21742.975071999997</v>
      </c>
      <c r="H37" s="225">
        <f>I37+J37+K37</f>
        <v>101413.13</v>
      </c>
      <c r="I37" s="75">
        <f>SUM(I38:I39)</f>
        <v>74599.5</v>
      </c>
      <c r="J37" s="75">
        <f>SUM(J38:J39)</f>
        <v>5070.66</v>
      </c>
      <c r="K37" s="80">
        <f>SUM(K38:K39)</f>
        <v>21742.97</v>
      </c>
      <c r="L37" s="321"/>
    </row>
    <row r="38" spans="1:12" outlineLevel="1" x14ac:dyDescent="0.25">
      <c r="A38" s="168"/>
      <c r="B38" s="16" t="s">
        <v>557</v>
      </c>
      <c r="C38" s="27"/>
      <c r="D38" s="222"/>
      <c r="E38" s="11"/>
      <c r="F38" s="11"/>
      <c r="G38" s="106"/>
      <c r="H38" s="222"/>
      <c r="I38" s="11"/>
      <c r="J38" s="11"/>
      <c r="K38" s="106"/>
      <c r="L38" s="27"/>
    </row>
    <row r="39" spans="1:12" s="364" customFormat="1" outlineLevel="1" x14ac:dyDescent="0.25">
      <c r="A39" s="397"/>
      <c r="B39" s="248" t="s">
        <v>67</v>
      </c>
      <c r="C39" s="270">
        <v>101413.13</v>
      </c>
      <c r="D39" s="259">
        <f t="shared" ref="D39" si="18">E39+F39+G39</f>
        <v>101413.13</v>
      </c>
      <c r="E39" s="250">
        <f>C39*0.7356</f>
        <v>74599.498428000006</v>
      </c>
      <c r="F39" s="250">
        <f>C39*5%</f>
        <v>5070.656500000001</v>
      </c>
      <c r="G39" s="251">
        <f>C39-E39-F39</f>
        <v>21742.975071999997</v>
      </c>
      <c r="H39" s="259">
        <f t="shared" ref="H39" si="19">I39+J39+K39</f>
        <v>101413.13</v>
      </c>
      <c r="I39" s="257">
        <v>74599.5</v>
      </c>
      <c r="J39" s="257">
        <v>5070.66</v>
      </c>
      <c r="K39" s="269">
        <v>21742.97</v>
      </c>
      <c r="L39" s="270" t="s">
        <v>664</v>
      </c>
    </row>
    <row r="40" spans="1:12" s="68" customFormat="1" ht="35.25" customHeight="1" x14ac:dyDescent="0.2">
      <c r="A40" s="167">
        <v>12</v>
      </c>
      <c r="B40" s="80" t="s">
        <v>583</v>
      </c>
      <c r="C40" s="63">
        <f>SUM(C41:C42)</f>
        <v>81706.09</v>
      </c>
      <c r="D40" s="221">
        <f>SUM(E40:G40)</f>
        <v>81706.09</v>
      </c>
      <c r="E40" s="75">
        <f>SUM(E41:E42)</f>
        <v>60102.999803999999</v>
      </c>
      <c r="F40" s="75">
        <f>SUM(F41:F42)</f>
        <v>4085.3045000000002</v>
      </c>
      <c r="G40" s="80">
        <f>SUM(G41:G42)</f>
        <v>17517.785695999999</v>
      </c>
      <c r="H40" s="221">
        <f>SUM(I40:K40)</f>
        <v>81706.09</v>
      </c>
      <c r="I40" s="75">
        <f>SUM(I41:I42)</f>
        <v>60103</v>
      </c>
      <c r="J40" s="75">
        <f>SUM(J41:J42)</f>
        <v>4085.3</v>
      </c>
      <c r="K40" s="80">
        <f>SUM(K41:K42)</f>
        <v>17517.79</v>
      </c>
      <c r="L40" s="321"/>
    </row>
    <row r="41" spans="1:12" outlineLevel="1" x14ac:dyDescent="0.25">
      <c r="A41" s="168"/>
      <c r="B41" s="16" t="s">
        <v>557</v>
      </c>
      <c r="C41" s="27"/>
      <c r="D41" s="222"/>
      <c r="E41" s="11"/>
      <c r="F41" s="11"/>
      <c r="G41" s="106"/>
      <c r="H41" s="222"/>
      <c r="I41" s="11"/>
      <c r="J41" s="11"/>
      <c r="K41" s="106"/>
      <c r="L41" s="27"/>
    </row>
    <row r="42" spans="1:12" s="364" customFormat="1" outlineLevel="1" x14ac:dyDescent="0.25">
      <c r="A42" s="397"/>
      <c r="B42" s="248" t="s">
        <v>67</v>
      </c>
      <c r="C42" s="270">
        <v>81706.09</v>
      </c>
      <c r="D42" s="259">
        <f t="shared" ref="D42" si="20">E42+F42+G42</f>
        <v>81706.09</v>
      </c>
      <c r="E42" s="250">
        <f>C42*0.7356</f>
        <v>60102.999803999999</v>
      </c>
      <c r="F42" s="250">
        <f>C42*5%</f>
        <v>4085.3045000000002</v>
      </c>
      <c r="G42" s="251">
        <f>C42-E42-F42</f>
        <v>17517.785695999999</v>
      </c>
      <c r="H42" s="259">
        <f t="shared" ref="H42" si="21">I42+J42+K42</f>
        <v>81706.09</v>
      </c>
      <c r="I42" s="257">
        <v>60103</v>
      </c>
      <c r="J42" s="257">
        <v>4085.3</v>
      </c>
      <c r="K42" s="269">
        <v>17517.79</v>
      </c>
      <c r="L42" s="270" t="s">
        <v>664</v>
      </c>
    </row>
    <row r="43" spans="1:12" s="68" customFormat="1" ht="33.75" customHeight="1" x14ac:dyDescent="0.2">
      <c r="A43" s="167">
        <v>13</v>
      </c>
      <c r="B43" s="80" t="s">
        <v>584</v>
      </c>
      <c r="C43" s="63">
        <f>SUM(C44:C45)</f>
        <v>68154.11</v>
      </c>
      <c r="D43" s="221">
        <f>SUM(E43:G43)</f>
        <v>68154.11</v>
      </c>
      <c r="E43" s="75">
        <f>SUM(E44:E45)</f>
        <v>50134.163316000006</v>
      </c>
      <c r="F43" s="75">
        <f>SUM(F44:F45)</f>
        <v>3407.7055</v>
      </c>
      <c r="G43" s="80">
        <f>SUM(G44:G45)</f>
        <v>14612.241183999995</v>
      </c>
      <c r="H43" s="221">
        <f>SUM(I43:K43)</f>
        <v>68154.11</v>
      </c>
      <c r="I43" s="75">
        <f>SUM(I44:I45)</f>
        <v>50134.16</v>
      </c>
      <c r="J43" s="75">
        <f>SUM(J44:J45)</f>
        <v>3407.71</v>
      </c>
      <c r="K43" s="80">
        <f>SUM(K44:K45)</f>
        <v>14612.24</v>
      </c>
      <c r="L43" s="321"/>
    </row>
    <row r="44" spans="1:12" outlineLevel="1" x14ac:dyDescent="0.25">
      <c r="A44" s="168"/>
      <c r="B44" s="16" t="s">
        <v>557</v>
      </c>
      <c r="C44" s="27"/>
      <c r="D44" s="222"/>
      <c r="E44" s="11"/>
      <c r="F44" s="11"/>
      <c r="G44" s="106"/>
      <c r="H44" s="222"/>
      <c r="I44" s="11"/>
      <c r="J44" s="11"/>
      <c r="K44" s="106"/>
      <c r="L44" s="27"/>
    </row>
    <row r="45" spans="1:12" s="364" customFormat="1" outlineLevel="1" x14ac:dyDescent="0.25">
      <c r="A45" s="397"/>
      <c r="B45" s="248" t="s">
        <v>67</v>
      </c>
      <c r="C45" s="270">
        <v>68154.11</v>
      </c>
      <c r="D45" s="259">
        <f t="shared" ref="D45" si="22">E45+F45+G45</f>
        <v>68154.11</v>
      </c>
      <c r="E45" s="250">
        <f>C45*0.7356</f>
        <v>50134.163316000006</v>
      </c>
      <c r="F45" s="250">
        <f>C45*5%</f>
        <v>3407.7055</v>
      </c>
      <c r="G45" s="251">
        <f>C45-E45-F45</f>
        <v>14612.241183999995</v>
      </c>
      <c r="H45" s="259">
        <f t="shared" ref="H45" si="23">I45+J45+K45</f>
        <v>68154.11</v>
      </c>
      <c r="I45" s="257">
        <v>50134.16</v>
      </c>
      <c r="J45" s="257">
        <v>3407.71</v>
      </c>
      <c r="K45" s="269">
        <v>14612.24</v>
      </c>
      <c r="L45" s="270" t="s">
        <v>664</v>
      </c>
    </row>
    <row r="46" spans="1:12" s="68" customFormat="1" ht="30" customHeight="1" x14ac:dyDescent="0.2">
      <c r="A46" s="167">
        <v>14</v>
      </c>
      <c r="B46" s="80" t="s">
        <v>585</v>
      </c>
      <c r="C46" s="63">
        <f>SUM(C47:C48)</f>
        <v>68916.5</v>
      </c>
      <c r="D46" s="221">
        <f>SUM(E46:G46)</f>
        <v>68916.5</v>
      </c>
      <c r="E46" s="75">
        <f>SUM(E47:E48)</f>
        <v>50694.977400000003</v>
      </c>
      <c r="F46" s="75">
        <f>SUM(F47:F48)</f>
        <v>3445.8250000000003</v>
      </c>
      <c r="G46" s="80">
        <f>SUM(G47:G48)</f>
        <v>14775.697599999996</v>
      </c>
      <c r="H46" s="221">
        <f>SUM(I46:K46)</f>
        <v>68916.5</v>
      </c>
      <c r="I46" s="75">
        <f>SUM(I47:I48)</f>
        <v>50694.98</v>
      </c>
      <c r="J46" s="75">
        <f>SUM(J47:J48)</f>
        <v>3445.82</v>
      </c>
      <c r="K46" s="80">
        <f>SUM(K47:K48)</f>
        <v>14775.7</v>
      </c>
      <c r="L46" s="321"/>
    </row>
    <row r="47" spans="1:12" outlineLevel="1" x14ac:dyDescent="0.25">
      <c r="A47" s="168"/>
      <c r="B47" s="16" t="s">
        <v>557</v>
      </c>
      <c r="C47" s="27"/>
      <c r="D47" s="222"/>
      <c r="E47" s="11"/>
      <c r="F47" s="11"/>
      <c r="G47" s="106"/>
      <c r="H47" s="222"/>
      <c r="I47" s="11"/>
      <c r="J47" s="11"/>
      <c r="K47" s="106"/>
      <c r="L47" s="27"/>
    </row>
    <row r="48" spans="1:12" s="364" customFormat="1" outlineLevel="1" x14ac:dyDescent="0.25">
      <c r="A48" s="397"/>
      <c r="B48" s="248" t="s">
        <v>67</v>
      </c>
      <c r="C48" s="270">
        <v>68916.5</v>
      </c>
      <c r="D48" s="259">
        <f t="shared" ref="D48" si="24">E48+F48+G48</f>
        <v>68916.5</v>
      </c>
      <c r="E48" s="250">
        <f>C48*0.7356</f>
        <v>50694.977400000003</v>
      </c>
      <c r="F48" s="250">
        <f>C48*5%</f>
        <v>3445.8250000000003</v>
      </c>
      <c r="G48" s="251">
        <f>C48-E48-F48</f>
        <v>14775.697599999996</v>
      </c>
      <c r="H48" s="259">
        <f t="shared" ref="H48" si="25">I48+J48+K48</f>
        <v>68916.5</v>
      </c>
      <c r="I48" s="257">
        <v>50694.98</v>
      </c>
      <c r="J48" s="257">
        <v>3445.82</v>
      </c>
      <c r="K48" s="269">
        <v>14775.7</v>
      </c>
      <c r="L48" s="270" t="s">
        <v>664</v>
      </c>
    </row>
    <row r="49" spans="1:13" s="566" customFormat="1" ht="35.25" customHeight="1" x14ac:dyDescent="0.2">
      <c r="A49" s="529">
        <v>15</v>
      </c>
      <c r="B49" s="247" t="s">
        <v>300</v>
      </c>
      <c r="C49" s="290">
        <f>SUM(C50:C50)</f>
        <v>989535.97</v>
      </c>
      <c r="D49" s="564">
        <f>SUM(E49:G49)</f>
        <v>989535.97</v>
      </c>
      <c r="E49" s="289">
        <f>SUM(E50:E50)</f>
        <v>727902.65953199996</v>
      </c>
      <c r="F49" s="289">
        <f>SUM(F50:F50)</f>
        <v>49476.798500000004</v>
      </c>
      <c r="G49" s="247">
        <f>SUM(G50:G50)</f>
        <v>212156.51196800001</v>
      </c>
      <c r="H49" s="564">
        <f>SUM(I49:K49)</f>
        <v>989535.97000000009</v>
      </c>
      <c r="I49" s="289">
        <f>SUM(I50:I50)</f>
        <v>727902.66</v>
      </c>
      <c r="J49" s="289">
        <f>SUM(J50:J50)</f>
        <v>49476.800000000003</v>
      </c>
      <c r="K49" s="247">
        <f>SUM(K50:K50)</f>
        <v>212156.51</v>
      </c>
      <c r="L49" s="565"/>
    </row>
    <row r="50" spans="1:13" s="364" customFormat="1" outlineLevel="1" x14ac:dyDescent="0.25">
      <c r="A50" s="397"/>
      <c r="B50" s="248" t="s">
        <v>64</v>
      </c>
      <c r="C50" s="270">
        <v>989535.97</v>
      </c>
      <c r="D50" s="259">
        <f t="shared" ref="D50" si="26">E50+F50+G50</f>
        <v>989535.97</v>
      </c>
      <c r="E50" s="250">
        <f>C50*0.7356</f>
        <v>727902.65953199996</v>
      </c>
      <c r="F50" s="250">
        <f>C50*5%</f>
        <v>49476.798500000004</v>
      </c>
      <c r="G50" s="251">
        <f>C50-E50-F50</f>
        <v>212156.51196800001</v>
      </c>
      <c r="H50" s="389">
        <f>I50+J50+K50</f>
        <v>989535.97000000009</v>
      </c>
      <c r="I50" s="257">
        <v>727902.66</v>
      </c>
      <c r="J50" s="257">
        <v>49476.800000000003</v>
      </c>
      <c r="K50" s="269">
        <v>212156.51</v>
      </c>
      <c r="L50" s="270" t="s">
        <v>727</v>
      </c>
    </row>
    <row r="51" spans="1:13" s="68" customFormat="1" ht="30.75" customHeight="1" x14ac:dyDescent="0.2">
      <c r="A51" s="167">
        <v>16</v>
      </c>
      <c r="B51" s="80" t="s">
        <v>301</v>
      </c>
      <c r="C51" s="321">
        <f>SUM(C52:C53)</f>
        <v>1431846.95</v>
      </c>
      <c r="D51" s="221">
        <f>SUM(E51:G51)</f>
        <v>1431846.9499999997</v>
      </c>
      <c r="E51" s="75">
        <f>SUM(E52:E53)</f>
        <v>1053266.6164200001</v>
      </c>
      <c r="F51" s="75">
        <f>SUM(F52:F53)</f>
        <v>71592.347500000003</v>
      </c>
      <c r="G51" s="80">
        <f>SUM(G52:G53)</f>
        <v>306987.98607999983</v>
      </c>
      <c r="H51" s="221">
        <f>SUM(I51:K51)</f>
        <v>1431846.9500000002</v>
      </c>
      <c r="I51" s="75">
        <f>SUM(I52:I53)</f>
        <v>1053266.6200000001</v>
      </c>
      <c r="J51" s="75">
        <f>SUM(J52:J53)</f>
        <v>71592.350000000006</v>
      </c>
      <c r="K51" s="80">
        <f>SUM(K52:K53)</f>
        <v>306987.98</v>
      </c>
      <c r="L51" s="321"/>
    </row>
    <row r="52" spans="1:13" s="364" customFormat="1" outlineLevel="1" x14ac:dyDescent="0.25">
      <c r="A52" s="397"/>
      <c r="B52" s="248" t="s">
        <v>64</v>
      </c>
      <c r="C52" s="270">
        <v>1431846.95</v>
      </c>
      <c r="D52" s="259">
        <f t="shared" ref="D52" si="27">E52+F52+G52</f>
        <v>1431846.9499999997</v>
      </c>
      <c r="E52" s="250">
        <f>C52*0.7356</f>
        <v>1053266.6164200001</v>
      </c>
      <c r="F52" s="250">
        <f>C52*5%</f>
        <v>71592.347500000003</v>
      </c>
      <c r="G52" s="251">
        <f>C52-E52-F52</f>
        <v>306987.98607999983</v>
      </c>
      <c r="H52" s="389">
        <f>I52+J52+K52</f>
        <v>1431846.9500000002</v>
      </c>
      <c r="I52" s="257">
        <v>1053266.6200000001</v>
      </c>
      <c r="J52" s="257">
        <v>71592.350000000006</v>
      </c>
      <c r="K52" s="269">
        <v>306987.98</v>
      </c>
      <c r="L52" s="270" t="s">
        <v>727</v>
      </c>
    </row>
    <row r="53" spans="1:13" outlineLevel="1" x14ac:dyDescent="0.25">
      <c r="A53" s="168"/>
      <c r="B53" s="577" t="s">
        <v>66</v>
      </c>
      <c r="C53" s="27"/>
      <c r="D53" s="226"/>
      <c r="E53" s="250"/>
      <c r="F53" s="250"/>
      <c r="G53" s="251"/>
      <c r="H53" s="222"/>
      <c r="I53" s="11"/>
      <c r="J53" s="11"/>
      <c r="K53" s="106"/>
      <c r="L53" s="27"/>
    </row>
    <row r="54" spans="1:13" s="566" customFormat="1" ht="33" customHeight="1" x14ac:dyDescent="0.2">
      <c r="A54" s="529">
        <v>17</v>
      </c>
      <c r="B54" s="247" t="s">
        <v>313</v>
      </c>
      <c r="C54" s="290">
        <f>SUM(C55:C56)</f>
        <v>3642900.95</v>
      </c>
      <c r="D54" s="564">
        <f>SUM(E54:G54)</f>
        <v>3642900.95</v>
      </c>
      <c r="E54" s="289">
        <f>SUM(E55:E56)</f>
        <v>2679717.9388200003</v>
      </c>
      <c r="F54" s="289">
        <f>SUM(F55:F56)</f>
        <v>182145.04750000002</v>
      </c>
      <c r="G54" s="247">
        <f>SUM(G55:G56)</f>
        <v>781037.96367999981</v>
      </c>
      <c r="H54" s="564">
        <f>SUM(I54:K54)</f>
        <v>3642900.95</v>
      </c>
      <c r="I54" s="289">
        <f>SUM(I55:I56)</f>
        <v>2679717.9400000004</v>
      </c>
      <c r="J54" s="289">
        <f>SUM(J55:J56)</f>
        <v>182145.05</v>
      </c>
      <c r="K54" s="247">
        <f>SUM(K55:K56)</f>
        <v>781037.96</v>
      </c>
      <c r="L54" s="565"/>
    </row>
    <row r="55" spans="1:13" s="364" customFormat="1" outlineLevel="1" x14ac:dyDescent="0.25">
      <c r="A55" s="397"/>
      <c r="B55" s="248" t="s">
        <v>555</v>
      </c>
      <c r="C55" s="270">
        <v>3578689.43</v>
      </c>
      <c r="D55" s="259">
        <f t="shared" ref="D55" si="28">E55+F55+G55</f>
        <v>3578689.43</v>
      </c>
      <c r="E55" s="250">
        <f>C55*0.7356</f>
        <v>2632483.9447080004</v>
      </c>
      <c r="F55" s="250">
        <f>C55*5%</f>
        <v>178934.47150000001</v>
      </c>
      <c r="G55" s="251">
        <f>C55-E55-F55</f>
        <v>767271.01379199978</v>
      </c>
      <c r="H55" s="389">
        <f>I55+J55+K55</f>
        <v>3578689.4300000006</v>
      </c>
      <c r="I55" s="257">
        <v>2632483.9500000002</v>
      </c>
      <c r="J55" s="257">
        <v>178934.47</v>
      </c>
      <c r="K55" s="269">
        <v>767271.01</v>
      </c>
      <c r="L55" s="270" t="s">
        <v>727</v>
      </c>
    </row>
    <row r="56" spans="1:13" s="364" customFormat="1" outlineLevel="1" x14ac:dyDescent="0.25">
      <c r="A56" s="397"/>
      <c r="B56" s="248" t="s">
        <v>67</v>
      </c>
      <c r="C56" s="270">
        <v>64211.519999999997</v>
      </c>
      <c r="D56" s="259">
        <f t="shared" ref="D56" si="29">E56+F56+G56</f>
        <v>64211.519999999997</v>
      </c>
      <c r="E56" s="250">
        <f>C56*0.7356</f>
        <v>47233.994112</v>
      </c>
      <c r="F56" s="250">
        <f>C56*5%</f>
        <v>3210.576</v>
      </c>
      <c r="G56" s="251">
        <f>C56-E56-F56</f>
        <v>13766.949887999996</v>
      </c>
      <c r="H56" s="259">
        <f t="shared" ref="H56" si="30">I56+J56+K56</f>
        <v>64211.520000000004</v>
      </c>
      <c r="I56" s="257">
        <v>47233.99</v>
      </c>
      <c r="J56" s="257">
        <v>3210.58</v>
      </c>
      <c r="K56" s="269">
        <v>13766.95</v>
      </c>
      <c r="L56" s="270" t="s">
        <v>664</v>
      </c>
    </row>
    <row r="57" spans="1:13" s="566" customFormat="1" ht="38.25" customHeight="1" x14ac:dyDescent="0.2">
      <c r="A57" s="529">
        <v>18</v>
      </c>
      <c r="B57" s="662" t="s">
        <v>302</v>
      </c>
      <c r="C57" s="290">
        <f>SUM(C58:C58)</f>
        <v>8998599.7599999998</v>
      </c>
      <c r="D57" s="564">
        <f>SUM(E57:G57)</f>
        <v>8998599.7599999998</v>
      </c>
      <c r="E57" s="289">
        <f>SUM(E58:E58)</f>
        <v>6982823.4277623994</v>
      </c>
      <c r="F57" s="289">
        <f>SUM(F58:F58)</f>
        <v>449929.98800000001</v>
      </c>
      <c r="G57" s="247">
        <f>SUM(G58:G58)</f>
        <v>1565846.3442376005</v>
      </c>
      <c r="H57" s="564">
        <f>SUM(I57:K57)</f>
        <v>8998599.7599999998</v>
      </c>
      <c r="I57" s="289">
        <f>SUM(I58:I58)</f>
        <v>6982823.4299999997</v>
      </c>
      <c r="J57" s="289">
        <f>SUM(J58:J58)</f>
        <v>449929.99</v>
      </c>
      <c r="K57" s="247">
        <f>SUM(K58:K58)</f>
        <v>1565846.34</v>
      </c>
      <c r="L57" s="565"/>
    </row>
    <row r="58" spans="1:13" s="364" customFormat="1" outlineLevel="1" x14ac:dyDescent="0.25">
      <c r="A58" s="397"/>
      <c r="B58" s="248" t="s">
        <v>557</v>
      </c>
      <c r="C58" s="270">
        <v>8998599.7599999998</v>
      </c>
      <c r="D58" s="389">
        <f>E58+F58+G58</f>
        <v>8998599.7599999998</v>
      </c>
      <c r="E58" s="257">
        <f>C58*0.77599</f>
        <v>6982823.4277623994</v>
      </c>
      <c r="F58" s="257">
        <f>C58*5%</f>
        <v>449929.98800000001</v>
      </c>
      <c r="G58" s="269">
        <f>C58-E58-F58</f>
        <v>1565846.3442376005</v>
      </c>
      <c r="H58" s="389">
        <f>SUM(I58:K58)</f>
        <v>8998599.7599999998</v>
      </c>
      <c r="I58" s="257">
        <v>6982823.4299999997</v>
      </c>
      <c r="J58" s="257">
        <v>449929.99</v>
      </c>
      <c r="K58" s="269">
        <v>1565846.34</v>
      </c>
      <c r="L58" s="270" t="s">
        <v>829</v>
      </c>
      <c r="M58" s="663">
        <v>42598</v>
      </c>
    </row>
    <row r="59" spans="1:13" s="68" customFormat="1" ht="32.25" customHeight="1" x14ac:dyDescent="0.2">
      <c r="A59" s="167">
        <v>19</v>
      </c>
      <c r="B59" s="80" t="s">
        <v>303</v>
      </c>
      <c r="C59" s="63">
        <f>SUM(C60:C60)</f>
        <v>0</v>
      </c>
      <c r="D59" s="221">
        <f>SUM(E59:G59)</f>
        <v>0</v>
      </c>
      <c r="E59" s="75">
        <f>SUM(E60:E60)</f>
        <v>0</v>
      </c>
      <c r="F59" s="75">
        <f>SUM(F60:F60)</f>
        <v>0</v>
      </c>
      <c r="G59" s="80">
        <f>SUM(G60:G60)</f>
        <v>0</v>
      </c>
      <c r="H59" s="221">
        <f>SUM(I59:K59)</f>
        <v>0</v>
      </c>
      <c r="I59" s="75">
        <f>SUM(I60:I60)</f>
        <v>0</v>
      </c>
      <c r="J59" s="75">
        <f>SUM(J60:J60)</f>
        <v>0</v>
      </c>
      <c r="K59" s="80">
        <f>SUM(K60:K60)</f>
        <v>0</v>
      </c>
      <c r="L59" s="321"/>
    </row>
    <row r="60" spans="1:13" outlineLevel="1" x14ac:dyDescent="0.25">
      <c r="A60" s="168"/>
      <c r="B60" s="16" t="s">
        <v>557</v>
      </c>
      <c r="C60" s="27"/>
      <c r="D60" s="222"/>
      <c r="E60" s="11"/>
      <c r="F60" s="11"/>
      <c r="G60" s="106"/>
      <c r="H60" s="222"/>
      <c r="I60" s="11"/>
      <c r="J60" s="11"/>
      <c r="K60" s="106"/>
      <c r="L60" s="27"/>
    </row>
    <row r="61" spans="1:13" s="68" customFormat="1" ht="29.25" customHeight="1" x14ac:dyDescent="0.2">
      <c r="A61" s="167">
        <v>20</v>
      </c>
      <c r="B61" s="80" t="s">
        <v>304</v>
      </c>
      <c r="C61" s="63">
        <f>SUM(C62:C62)</f>
        <v>0</v>
      </c>
      <c r="D61" s="221">
        <f>SUM(E61:G61)</f>
        <v>0</v>
      </c>
      <c r="E61" s="75">
        <f>SUM(E62:E62)</f>
        <v>0</v>
      </c>
      <c r="F61" s="75">
        <f>SUM(F62:F62)</f>
        <v>0</v>
      </c>
      <c r="G61" s="80">
        <f>SUM(G62:G62)</f>
        <v>0</v>
      </c>
      <c r="H61" s="221">
        <f>SUM(I61:K61)</f>
        <v>0</v>
      </c>
      <c r="I61" s="75">
        <f>SUM(I62:I62)</f>
        <v>0</v>
      </c>
      <c r="J61" s="75">
        <f>SUM(J62:J62)</f>
        <v>0</v>
      </c>
      <c r="K61" s="80">
        <f>SUM(K62:K62)</f>
        <v>0</v>
      </c>
      <c r="L61" s="321"/>
    </row>
    <row r="62" spans="1:13" outlineLevel="1" x14ac:dyDescent="0.25">
      <c r="A62" s="168"/>
      <c r="B62" s="16" t="s">
        <v>557</v>
      </c>
      <c r="C62" s="27"/>
      <c r="D62" s="222"/>
      <c r="E62" s="11"/>
      <c r="F62" s="11"/>
      <c r="G62" s="106"/>
      <c r="H62" s="222"/>
      <c r="I62" s="11"/>
      <c r="J62" s="11"/>
      <c r="K62" s="106"/>
      <c r="L62" s="27"/>
    </row>
    <row r="63" spans="1:13" s="68" customFormat="1" ht="32.25" customHeight="1" x14ac:dyDescent="0.2">
      <c r="A63" s="167">
        <v>21</v>
      </c>
      <c r="B63" s="80" t="s">
        <v>586</v>
      </c>
      <c r="C63" s="63">
        <f>SUM(C64:C65)</f>
        <v>101007.64</v>
      </c>
      <c r="D63" s="221">
        <f>SUM(E63:G63)</f>
        <v>101007.64</v>
      </c>
      <c r="E63" s="75">
        <f>SUM(E64:E65)</f>
        <v>74301.219983999996</v>
      </c>
      <c r="F63" s="75">
        <f>SUM(F64:F65)</f>
        <v>5050.3820000000005</v>
      </c>
      <c r="G63" s="80">
        <f>SUM(G64:G65)</f>
        <v>21656.038016000002</v>
      </c>
      <c r="H63" s="221">
        <f>SUM(I63:K63)</f>
        <v>101007.64000000001</v>
      </c>
      <c r="I63" s="75">
        <f>SUM(I64:I65)</f>
        <v>74301.22</v>
      </c>
      <c r="J63" s="75">
        <f>SUM(J64:J65)</f>
        <v>5050.38</v>
      </c>
      <c r="K63" s="80">
        <f>SUM(K64:K65)</f>
        <v>21656.04</v>
      </c>
      <c r="L63" s="321"/>
    </row>
    <row r="64" spans="1:13" outlineLevel="1" x14ac:dyDescent="0.25">
      <c r="A64" s="168"/>
      <c r="B64" s="16" t="s">
        <v>557</v>
      </c>
      <c r="C64" s="27"/>
      <c r="D64" s="222"/>
      <c r="E64" s="11"/>
      <c r="F64" s="11"/>
      <c r="G64" s="106"/>
      <c r="H64" s="222"/>
      <c r="I64" s="11"/>
      <c r="J64" s="11"/>
      <c r="K64" s="106"/>
      <c r="L64" s="27"/>
    </row>
    <row r="65" spans="1:12" s="364" customFormat="1" outlineLevel="1" x14ac:dyDescent="0.25">
      <c r="A65" s="397"/>
      <c r="B65" s="248" t="s">
        <v>67</v>
      </c>
      <c r="C65" s="270">
        <v>101007.64</v>
      </c>
      <c r="D65" s="259">
        <f t="shared" ref="D65" si="31">E65+F65+G65</f>
        <v>101007.64</v>
      </c>
      <c r="E65" s="250">
        <f>C65*0.7356</f>
        <v>74301.219983999996</v>
      </c>
      <c r="F65" s="250">
        <f>C65*5%</f>
        <v>5050.3820000000005</v>
      </c>
      <c r="G65" s="251">
        <f>C65-E65-F65</f>
        <v>21656.038016000002</v>
      </c>
      <c r="H65" s="259">
        <f t="shared" ref="H65" si="32">I65+J65+K65</f>
        <v>101007.64000000001</v>
      </c>
      <c r="I65" s="257">
        <v>74301.22</v>
      </c>
      <c r="J65" s="257">
        <v>5050.38</v>
      </c>
      <c r="K65" s="269">
        <v>21656.04</v>
      </c>
      <c r="L65" s="270" t="s">
        <v>664</v>
      </c>
    </row>
    <row r="66" spans="1:12" s="68" customFormat="1" ht="38.25" customHeight="1" x14ac:dyDescent="0.2">
      <c r="A66" s="167">
        <v>22</v>
      </c>
      <c r="B66" s="80" t="s">
        <v>587</v>
      </c>
      <c r="C66" s="63">
        <f>SUM(C67:C68)</f>
        <v>96101.49</v>
      </c>
      <c r="D66" s="221">
        <f>SUM(E66:G66)</f>
        <v>96101.49</v>
      </c>
      <c r="E66" s="75">
        <f>SUM(E67:E68)</f>
        <v>70692.256044000009</v>
      </c>
      <c r="F66" s="75">
        <f>SUM(F67:F68)</f>
        <v>4805.0745000000006</v>
      </c>
      <c r="G66" s="80">
        <f>SUM(G67:G68)</f>
        <v>20604.159455999994</v>
      </c>
      <c r="H66" s="221">
        <f>SUM(I66:K66)</f>
        <v>96101.489999999991</v>
      </c>
      <c r="I66" s="75">
        <f>SUM(I67:I68)</f>
        <v>70692.259999999995</v>
      </c>
      <c r="J66" s="75">
        <f>SUM(J67:J68)</f>
        <v>4805.07</v>
      </c>
      <c r="K66" s="80">
        <f>SUM(K67:K68)</f>
        <v>20604.16</v>
      </c>
      <c r="L66" s="321"/>
    </row>
    <row r="67" spans="1:12" outlineLevel="1" x14ac:dyDescent="0.25">
      <c r="A67" s="168"/>
      <c r="B67" s="16" t="s">
        <v>557</v>
      </c>
      <c r="C67" s="27"/>
      <c r="D67" s="222"/>
      <c r="E67" s="11"/>
      <c r="F67" s="11"/>
      <c r="G67" s="106"/>
      <c r="H67" s="222"/>
      <c r="I67" s="11"/>
      <c r="J67" s="11"/>
      <c r="K67" s="106"/>
      <c r="L67" s="27"/>
    </row>
    <row r="68" spans="1:12" s="364" customFormat="1" outlineLevel="1" x14ac:dyDescent="0.25">
      <c r="A68" s="397"/>
      <c r="B68" s="248" t="s">
        <v>67</v>
      </c>
      <c r="C68" s="270">
        <v>96101.49</v>
      </c>
      <c r="D68" s="259">
        <f t="shared" ref="D68" si="33">E68+F68+G68</f>
        <v>96101.49</v>
      </c>
      <c r="E68" s="250">
        <f>C68*0.7356</f>
        <v>70692.256044000009</v>
      </c>
      <c r="F68" s="250">
        <f>C68*5%</f>
        <v>4805.0745000000006</v>
      </c>
      <c r="G68" s="251">
        <f>C68-E68-F68</f>
        <v>20604.159455999994</v>
      </c>
      <c r="H68" s="259">
        <f t="shared" ref="H68" si="34">I68+J68+K68</f>
        <v>96101.489999999991</v>
      </c>
      <c r="I68" s="257">
        <v>70692.259999999995</v>
      </c>
      <c r="J68" s="257">
        <v>4805.07</v>
      </c>
      <c r="K68" s="269">
        <v>20604.16</v>
      </c>
      <c r="L68" s="270" t="s">
        <v>664</v>
      </c>
    </row>
    <row r="69" spans="1:12" s="566" customFormat="1" ht="33" customHeight="1" x14ac:dyDescent="0.2">
      <c r="A69" s="529">
        <v>23</v>
      </c>
      <c r="B69" s="247" t="s">
        <v>314</v>
      </c>
      <c r="C69" s="290">
        <f>SUM(C70:C71)</f>
        <v>2048974.8699999999</v>
      </c>
      <c r="D69" s="564">
        <f>SUM(E69:G69)</f>
        <v>2048974.87</v>
      </c>
      <c r="E69" s="289">
        <f>SUM(E70:E71)</f>
        <v>1786120.9201364999</v>
      </c>
      <c r="F69" s="289">
        <f>SUM(F70:F71)</f>
        <v>102448.7435</v>
      </c>
      <c r="G69" s="247">
        <f>SUM(G70:G71)</f>
        <v>160405.20636349998</v>
      </c>
      <c r="H69" s="564">
        <f>SUM(I69:K69)</f>
        <v>2048974.8699999999</v>
      </c>
      <c r="I69" s="289">
        <f>SUM(I70:I71)</f>
        <v>1795578.15</v>
      </c>
      <c r="J69" s="289">
        <f>SUM(J70:J71)</f>
        <v>102448.73999999999</v>
      </c>
      <c r="K69" s="247">
        <f>SUM(K70:K71)</f>
        <v>150947.98000000001</v>
      </c>
      <c r="L69" s="565"/>
    </row>
    <row r="70" spans="1:12" s="364" customFormat="1" outlineLevel="1" x14ac:dyDescent="0.25">
      <c r="A70" s="397"/>
      <c r="B70" s="248" t="s">
        <v>555</v>
      </c>
      <c r="C70" s="270">
        <v>1981773.65</v>
      </c>
      <c r="D70" s="389">
        <f>E70+F70+G70</f>
        <v>1981773.65</v>
      </c>
      <c r="E70" s="257">
        <f>C70*0.87633</f>
        <v>1736687.7027044999</v>
      </c>
      <c r="F70" s="250">
        <f>C70*5%</f>
        <v>99088.682499999995</v>
      </c>
      <c r="G70" s="251">
        <f>C70-E70-F70</f>
        <v>145997.26479549997</v>
      </c>
      <c r="H70" s="389">
        <f>I70+J70+K70</f>
        <v>1981773.65</v>
      </c>
      <c r="I70" s="257">
        <v>1746144.93</v>
      </c>
      <c r="J70" s="257">
        <v>99088.68</v>
      </c>
      <c r="K70" s="269">
        <v>136540.04</v>
      </c>
      <c r="L70" s="270" t="s">
        <v>747</v>
      </c>
    </row>
    <row r="71" spans="1:12" s="364" customFormat="1" outlineLevel="1" x14ac:dyDescent="0.25">
      <c r="A71" s="397"/>
      <c r="B71" s="248" t="s">
        <v>67</v>
      </c>
      <c r="C71" s="270">
        <v>67201.22</v>
      </c>
      <c r="D71" s="259">
        <f t="shared" ref="D71" si="35">E71+F71+G71</f>
        <v>67201.22</v>
      </c>
      <c r="E71" s="250">
        <f>C71*0.7356</f>
        <v>49433.217432000005</v>
      </c>
      <c r="F71" s="250">
        <f>C71*5%</f>
        <v>3360.0610000000001</v>
      </c>
      <c r="G71" s="251">
        <f>C71-E71-F71</f>
        <v>14407.941567999997</v>
      </c>
      <c r="H71" s="259">
        <f t="shared" ref="H71" si="36">I71+J71+K71</f>
        <v>67201.22</v>
      </c>
      <c r="I71" s="257">
        <v>49433.22</v>
      </c>
      <c r="J71" s="257">
        <v>3360.06</v>
      </c>
      <c r="K71" s="269">
        <v>14407.94</v>
      </c>
      <c r="L71" s="270" t="s">
        <v>664</v>
      </c>
    </row>
    <row r="72" spans="1:12" s="68" customFormat="1" ht="32.25" customHeight="1" x14ac:dyDescent="0.2">
      <c r="A72" s="167">
        <v>25</v>
      </c>
      <c r="B72" s="80" t="s">
        <v>588</v>
      </c>
      <c r="C72" s="63">
        <f>SUM(C73:C74)</f>
        <v>92954.32</v>
      </c>
      <c r="D72" s="221">
        <f>SUM(E72:G72)</f>
        <v>92954.32</v>
      </c>
      <c r="E72" s="75">
        <f>SUM(E73:E74)</f>
        <v>68377.197792000006</v>
      </c>
      <c r="F72" s="75">
        <f>SUM(F73:F74)</f>
        <v>4647.7160000000003</v>
      </c>
      <c r="G72" s="80">
        <f>SUM(G73:G74)</f>
        <v>19929.406208</v>
      </c>
      <c r="H72" s="221">
        <f>SUM(I72:K72)</f>
        <v>92954.32</v>
      </c>
      <c r="I72" s="75">
        <f>SUM(I73:I74)</f>
        <v>68377.2</v>
      </c>
      <c r="J72" s="75">
        <f>SUM(J73:J74)</f>
        <v>4647.71</v>
      </c>
      <c r="K72" s="80">
        <f>SUM(K73:K74)</f>
        <v>19929.41</v>
      </c>
      <c r="L72" s="321"/>
    </row>
    <row r="73" spans="1:12" outlineLevel="1" x14ac:dyDescent="0.25">
      <c r="A73" s="168"/>
      <c r="B73" s="16" t="s">
        <v>557</v>
      </c>
      <c r="C73" s="27"/>
      <c r="D73" s="222"/>
      <c r="E73" s="11"/>
      <c r="F73" s="11"/>
      <c r="G73" s="106"/>
      <c r="H73" s="222"/>
      <c r="I73" s="11"/>
      <c r="J73" s="11"/>
      <c r="K73" s="106"/>
      <c r="L73" s="27"/>
    </row>
    <row r="74" spans="1:12" s="364" customFormat="1" outlineLevel="1" x14ac:dyDescent="0.25">
      <c r="A74" s="397"/>
      <c r="B74" s="248" t="s">
        <v>67</v>
      </c>
      <c r="C74" s="270">
        <v>92954.32</v>
      </c>
      <c r="D74" s="259">
        <f t="shared" ref="D74" si="37">E74+F74+G74</f>
        <v>92954.32</v>
      </c>
      <c r="E74" s="250">
        <f>C74*0.7356</f>
        <v>68377.197792000006</v>
      </c>
      <c r="F74" s="250">
        <f>C74*5%</f>
        <v>4647.7160000000003</v>
      </c>
      <c r="G74" s="251">
        <f>C74-E74-F74</f>
        <v>19929.406208</v>
      </c>
      <c r="H74" s="389">
        <f>I74+J74+K74</f>
        <v>92954.32</v>
      </c>
      <c r="I74" s="257">
        <v>68377.2</v>
      </c>
      <c r="J74" s="257">
        <v>4647.71</v>
      </c>
      <c r="K74" s="269">
        <v>19929.41</v>
      </c>
      <c r="L74" s="270" t="s">
        <v>695</v>
      </c>
    </row>
    <row r="75" spans="1:12" s="68" customFormat="1" ht="33" customHeight="1" x14ac:dyDescent="0.2">
      <c r="A75" s="167">
        <v>26</v>
      </c>
      <c r="B75" s="80" t="s">
        <v>315</v>
      </c>
      <c r="C75" s="63">
        <f>SUM(C76:C77)</f>
        <v>78354.320000000007</v>
      </c>
      <c r="D75" s="221">
        <f>SUM(E75:G75)</f>
        <v>78354.320000000007</v>
      </c>
      <c r="E75" s="75">
        <f>SUM(E76:E77)</f>
        <v>57637.437792000004</v>
      </c>
      <c r="F75" s="75">
        <f>SUM(F76:F77)</f>
        <v>3917.7160000000003</v>
      </c>
      <c r="G75" s="80">
        <f>SUM(G76:G77)</f>
        <v>16799.166208000002</v>
      </c>
      <c r="H75" s="221">
        <f>SUM(I75:K75)</f>
        <v>78354.320000000007</v>
      </c>
      <c r="I75" s="75">
        <f>SUM(I76:I77)</f>
        <v>57637.440000000002</v>
      </c>
      <c r="J75" s="75">
        <f>SUM(J76:J77)</f>
        <v>3917.71</v>
      </c>
      <c r="K75" s="80">
        <f>SUM(K76:K77)</f>
        <v>16799.169999999998</v>
      </c>
      <c r="L75" s="321"/>
    </row>
    <row r="76" spans="1:12" outlineLevel="1" x14ac:dyDescent="0.25">
      <c r="A76" s="168"/>
      <c r="B76" s="16" t="s">
        <v>557</v>
      </c>
      <c r="C76" s="27"/>
      <c r="D76" s="222"/>
      <c r="E76" s="11"/>
      <c r="F76" s="11"/>
      <c r="G76" s="106"/>
      <c r="H76" s="222"/>
      <c r="I76" s="11"/>
      <c r="J76" s="11"/>
      <c r="K76" s="106"/>
      <c r="L76" s="27"/>
    </row>
    <row r="77" spans="1:12" s="364" customFormat="1" outlineLevel="1" x14ac:dyDescent="0.25">
      <c r="A77" s="397"/>
      <c r="B77" s="248" t="s">
        <v>67</v>
      </c>
      <c r="C77" s="270">
        <v>78354.320000000007</v>
      </c>
      <c r="D77" s="259">
        <f t="shared" ref="D77" si="38">E77+F77+G77</f>
        <v>78354.320000000007</v>
      </c>
      <c r="E77" s="250">
        <f>C77*0.7356</f>
        <v>57637.437792000004</v>
      </c>
      <c r="F77" s="250">
        <f>C77*5%</f>
        <v>3917.7160000000003</v>
      </c>
      <c r="G77" s="251">
        <f>C77-E77-F77</f>
        <v>16799.166208000002</v>
      </c>
      <c r="H77" s="259">
        <f t="shared" ref="H77" si="39">I77+J77+K77</f>
        <v>78354.320000000007</v>
      </c>
      <c r="I77" s="257">
        <v>57637.440000000002</v>
      </c>
      <c r="J77" s="257">
        <v>3917.71</v>
      </c>
      <c r="K77" s="269">
        <v>16799.169999999998</v>
      </c>
      <c r="L77" s="270" t="s">
        <v>664</v>
      </c>
    </row>
    <row r="78" spans="1:12" s="68" customFormat="1" ht="33.75" customHeight="1" x14ac:dyDescent="0.2">
      <c r="A78" s="167">
        <v>27</v>
      </c>
      <c r="B78" s="80" t="s">
        <v>589</v>
      </c>
      <c r="C78" s="63">
        <f>SUM(C79:C80)</f>
        <v>66495.27</v>
      </c>
      <c r="D78" s="221">
        <f>SUM(E78:G78)</f>
        <v>66495.27</v>
      </c>
      <c r="E78" s="75">
        <f>SUM(E79:E80)</f>
        <v>48913.920612000002</v>
      </c>
      <c r="F78" s="75">
        <f>SUM(F79:F80)</f>
        <v>3324.7635000000005</v>
      </c>
      <c r="G78" s="80">
        <f>SUM(G79:G80)</f>
        <v>14256.585888000001</v>
      </c>
      <c r="H78" s="221">
        <f>SUM(I78:K78)</f>
        <v>66495.27</v>
      </c>
      <c r="I78" s="75">
        <f>SUM(I79:I80)</f>
        <v>48913.919999999998</v>
      </c>
      <c r="J78" s="75">
        <f>SUM(J79:J80)</f>
        <v>3324.76</v>
      </c>
      <c r="K78" s="80">
        <f>SUM(K79:K80)</f>
        <v>14256.59</v>
      </c>
      <c r="L78" s="321"/>
    </row>
    <row r="79" spans="1:12" outlineLevel="1" x14ac:dyDescent="0.25">
      <c r="A79" s="168"/>
      <c r="B79" s="16" t="s">
        <v>555</v>
      </c>
      <c r="C79" s="27"/>
      <c r="D79" s="222"/>
      <c r="E79" s="11"/>
      <c r="F79" s="11"/>
      <c r="G79" s="106"/>
      <c r="H79" s="222"/>
      <c r="I79" s="11"/>
      <c r="J79" s="11"/>
      <c r="K79" s="106"/>
      <c r="L79" s="27"/>
    </row>
    <row r="80" spans="1:12" s="364" customFormat="1" outlineLevel="1" x14ac:dyDescent="0.25">
      <c r="A80" s="397"/>
      <c r="B80" s="248" t="s">
        <v>67</v>
      </c>
      <c r="C80" s="270">
        <v>66495.27</v>
      </c>
      <c r="D80" s="259">
        <f t="shared" ref="D80" si="40">E80+F80+G80</f>
        <v>66495.27</v>
      </c>
      <c r="E80" s="250">
        <f>C80*0.7356</f>
        <v>48913.920612000002</v>
      </c>
      <c r="F80" s="250">
        <f>C80*5%</f>
        <v>3324.7635000000005</v>
      </c>
      <c r="G80" s="251">
        <f>C80-E80-F80</f>
        <v>14256.585888000001</v>
      </c>
      <c r="H80" s="389">
        <f>I80+J80+K80</f>
        <v>66495.27</v>
      </c>
      <c r="I80" s="257">
        <v>48913.919999999998</v>
      </c>
      <c r="J80" s="257">
        <v>3324.76</v>
      </c>
      <c r="K80" s="269">
        <v>14256.59</v>
      </c>
      <c r="L80" s="270" t="s">
        <v>695</v>
      </c>
    </row>
    <row r="81" spans="1:13" s="566" customFormat="1" ht="39" customHeight="1" x14ac:dyDescent="0.2">
      <c r="A81" s="529">
        <v>28</v>
      </c>
      <c r="B81" s="247" t="s">
        <v>316</v>
      </c>
      <c r="C81" s="290">
        <f>SUM(C82:C83)</f>
        <v>1914634.99</v>
      </c>
      <c r="D81" s="564">
        <f>SUM(E81:G81)</f>
        <v>1914634.99</v>
      </c>
      <c r="E81" s="289">
        <f>SUM(E82:E83)</f>
        <v>1668391.9062099</v>
      </c>
      <c r="F81" s="289">
        <f>SUM(F82:F83)</f>
        <v>95731.749500000005</v>
      </c>
      <c r="G81" s="247">
        <f>SUM(G82:G83)</f>
        <v>150511.33429009994</v>
      </c>
      <c r="H81" s="564">
        <f>SUM(I81:K81)</f>
        <v>1914634.99</v>
      </c>
      <c r="I81" s="289">
        <f>SUM(I82:I83)</f>
        <v>1677852.08</v>
      </c>
      <c r="J81" s="289">
        <f>SUM(J82:J83)</f>
        <v>95731.75</v>
      </c>
      <c r="K81" s="247">
        <f>SUM(K82:K83)</f>
        <v>141051.16</v>
      </c>
      <c r="L81" s="565"/>
    </row>
    <row r="82" spans="1:13" s="364" customFormat="1" outlineLevel="1" x14ac:dyDescent="0.25">
      <c r="A82" s="397"/>
      <c r="B82" s="248" t="s">
        <v>555</v>
      </c>
      <c r="C82" s="270">
        <v>1847412.83</v>
      </c>
      <c r="D82" s="389">
        <f>E82+F82+G82</f>
        <v>1847412.83</v>
      </c>
      <c r="E82" s="257">
        <f>C82*0.87633</f>
        <v>1618943.2853139001</v>
      </c>
      <c r="F82" s="250">
        <f>C82*5%</f>
        <v>92370.641500000012</v>
      </c>
      <c r="G82" s="251">
        <f>C82-E82-F82</f>
        <v>136098.90318609995</v>
      </c>
      <c r="H82" s="259">
        <f t="shared" ref="H82:H83" si="41">I82+J82+K82</f>
        <v>1847412.8299999998</v>
      </c>
      <c r="I82" s="257">
        <v>1628403.46</v>
      </c>
      <c r="J82" s="257">
        <v>92370.64</v>
      </c>
      <c r="K82" s="269">
        <v>126638.73</v>
      </c>
      <c r="L82" s="270" t="s">
        <v>747</v>
      </c>
    </row>
    <row r="83" spans="1:13" s="364" customFormat="1" outlineLevel="1" x14ac:dyDescent="0.25">
      <c r="A83" s="397"/>
      <c r="B83" s="248" t="s">
        <v>67</v>
      </c>
      <c r="C83" s="270">
        <v>67222.16</v>
      </c>
      <c r="D83" s="259">
        <f t="shared" ref="D83" si="42">E83+F83+G83</f>
        <v>67222.16</v>
      </c>
      <c r="E83" s="250">
        <f>C83*0.7356</f>
        <v>49448.620896000008</v>
      </c>
      <c r="F83" s="250">
        <f>C83*5%</f>
        <v>3361.1080000000002</v>
      </c>
      <c r="G83" s="251">
        <f>C83-E83-F83</f>
        <v>14412.431103999996</v>
      </c>
      <c r="H83" s="259">
        <f t="shared" si="41"/>
        <v>67222.16</v>
      </c>
      <c r="I83" s="257">
        <v>49448.62</v>
      </c>
      <c r="J83" s="257">
        <v>3361.11</v>
      </c>
      <c r="K83" s="269">
        <v>14412.43</v>
      </c>
      <c r="L83" s="270" t="s">
        <v>664</v>
      </c>
    </row>
    <row r="84" spans="1:13" s="68" customFormat="1" ht="30" customHeight="1" thickBot="1" x14ac:dyDescent="0.25">
      <c r="A84" s="173">
        <v>29</v>
      </c>
      <c r="B84" s="174" t="s">
        <v>556</v>
      </c>
      <c r="C84" s="426"/>
      <c r="D84" s="425"/>
      <c r="E84" s="192"/>
      <c r="F84" s="192"/>
      <c r="G84" s="349"/>
      <c r="H84" s="425"/>
      <c r="I84" s="192"/>
      <c r="J84" s="192"/>
      <c r="K84" s="349"/>
      <c r="L84" s="426"/>
      <c r="M84" s="559"/>
    </row>
    <row r="86" spans="1:13" ht="15.75" thickBot="1" x14ac:dyDescent="0.3"/>
    <row r="87" spans="1:13" x14ac:dyDescent="0.25">
      <c r="B87" s="276" t="s">
        <v>64</v>
      </c>
      <c r="C87" s="279">
        <f t="shared" ref="C87:K87" si="43">C35+C50+C52</f>
        <v>6510136.5800000001</v>
      </c>
      <c r="D87" s="279">
        <f t="shared" si="43"/>
        <v>6510136.5800000001</v>
      </c>
      <c r="E87" s="279">
        <f t="shared" si="43"/>
        <v>5173362.8624344002</v>
      </c>
      <c r="F87" s="279">
        <f t="shared" si="43"/>
        <v>325506.82900000003</v>
      </c>
      <c r="G87" s="279">
        <f t="shared" si="43"/>
        <v>1011266.8885655999</v>
      </c>
      <c r="H87" s="279">
        <f t="shared" si="43"/>
        <v>6510136.5800000001</v>
      </c>
      <c r="I87" s="279">
        <f t="shared" si="43"/>
        <v>5182905.03</v>
      </c>
      <c r="J87" s="279">
        <f t="shared" si="43"/>
        <v>325506.83999999997</v>
      </c>
      <c r="K87" s="277">
        <f t="shared" si="43"/>
        <v>1001724.71</v>
      </c>
      <c r="L87" s="604"/>
    </row>
    <row r="88" spans="1:13" x14ac:dyDescent="0.25">
      <c r="B88" s="278" t="s">
        <v>66</v>
      </c>
      <c r="C88" s="12">
        <f t="shared" ref="C88:K88" si="44">C53</f>
        <v>0</v>
      </c>
      <c r="D88" s="12">
        <f t="shared" si="44"/>
        <v>0</v>
      </c>
      <c r="E88" s="12">
        <f t="shared" si="44"/>
        <v>0</v>
      </c>
      <c r="F88" s="12">
        <f t="shared" si="44"/>
        <v>0</v>
      </c>
      <c r="G88" s="12">
        <f t="shared" si="44"/>
        <v>0</v>
      </c>
      <c r="H88" s="12">
        <f t="shared" si="44"/>
        <v>0</v>
      </c>
      <c r="I88" s="12">
        <f t="shared" si="44"/>
        <v>0</v>
      </c>
      <c r="J88" s="12">
        <f t="shared" si="44"/>
        <v>0</v>
      </c>
      <c r="K88" s="16">
        <f t="shared" si="44"/>
        <v>0</v>
      </c>
      <c r="L88" s="604"/>
    </row>
    <row r="89" spans="1:13" x14ac:dyDescent="0.25">
      <c r="B89" s="278" t="s">
        <v>555</v>
      </c>
      <c r="C89" s="12">
        <f t="shared" ref="C89:K89" si="45">C14+C55+C70+C79+C82</f>
        <v>10900223.960000001</v>
      </c>
      <c r="D89" s="12">
        <f t="shared" si="45"/>
        <v>10900223.960000001</v>
      </c>
      <c r="E89" s="12">
        <f t="shared" si="45"/>
        <v>8885506.5689284019</v>
      </c>
      <c r="F89" s="12">
        <f t="shared" si="45"/>
        <v>545011.19800000009</v>
      </c>
      <c r="G89" s="12">
        <f t="shared" si="45"/>
        <v>1469706.1930715996</v>
      </c>
      <c r="H89" s="12">
        <f t="shared" si="45"/>
        <v>10900223.960000001</v>
      </c>
      <c r="I89" s="12">
        <f t="shared" si="45"/>
        <v>8910479.2899999991</v>
      </c>
      <c r="J89" s="12">
        <f t="shared" si="45"/>
        <v>545011.18999999994</v>
      </c>
      <c r="K89" s="16">
        <f t="shared" si="45"/>
        <v>1444733.48</v>
      </c>
      <c r="L89" s="604"/>
    </row>
    <row r="90" spans="1:13" x14ac:dyDescent="0.25">
      <c r="B90" s="278" t="s">
        <v>557</v>
      </c>
      <c r="C90" s="12">
        <f t="shared" ref="C90:K90" si="46">C11+C17+C20+C23+C26+C29+C32+C38+C41+C44+C47+C58+C60+C62+C64+C67+C73+C76</f>
        <v>8998599.7599999998</v>
      </c>
      <c r="D90" s="12">
        <f t="shared" si="46"/>
        <v>8998599.7599999998</v>
      </c>
      <c r="E90" s="12">
        <f t="shared" si="46"/>
        <v>6982823.4277623994</v>
      </c>
      <c r="F90" s="12">
        <f t="shared" si="46"/>
        <v>449929.98800000001</v>
      </c>
      <c r="G90" s="12">
        <f t="shared" si="46"/>
        <v>1565846.3442376005</v>
      </c>
      <c r="H90" s="12">
        <f t="shared" si="46"/>
        <v>8998599.7599999998</v>
      </c>
      <c r="I90" s="12">
        <f t="shared" si="46"/>
        <v>6982823.4299999997</v>
      </c>
      <c r="J90" s="12">
        <f t="shared" si="46"/>
        <v>449929.99</v>
      </c>
      <c r="K90" s="16">
        <f t="shared" si="46"/>
        <v>1565846.34</v>
      </c>
      <c r="L90" s="604"/>
    </row>
    <row r="91" spans="1:13" x14ac:dyDescent="0.25">
      <c r="B91" s="278" t="s">
        <v>561</v>
      </c>
      <c r="C91" s="12">
        <f t="shared" ref="C91:K91" si="47">C8</f>
        <v>0</v>
      </c>
      <c r="D91" s="12">
        <f t="shared" si="47"/>
        <v>0</v>
      </c>
      <c r="E91" s="12">
        <f t="shared" si="47"/>
        <v>0</v>
      </c>
      <c r="F91" s="12">
        <f t="shared" si="47"/>
        <v>0</v>
      </c>
      <c r="G91" s="12">
        <f t="shared" si="47"/>
        <v>0</v>
      </c>
      <c r="H91" s="12">
        <f t="shared" si="47"/>
        <v>0</v>
      </c>
      <c r="I91" s="12">
        <f t="shared" si="47"/>
        <v>0</v>
      </c>
      <c r="J91" s="12">
        <f t="shared" si="47"/>
        <v>0</v>
      </c>
      <c r="K91" s="16">
        <f t="shared" si="47"/>
        <v>0</v>
      </c>
      <c r="L91" s="604"/>
    </row>
    <row r="92" spans="1:13" x14ac:dyDescent="0.25">
      <c r="B92" s="281" t="s">
        <v>67</v>
      </c>
      <c r="C92" s="12">
        <f t="shared" ref="C92:K92" si="48">C9+C12+C15+C18+C21+C24+C27+C30+C33+C36+C39+C42+C45+C48+C56+C65+C68+C71+C74+C77+C80+C83+C84</f>
        <v>1770618.04</v>
      </c>
      <c r="D92" s="12">
        <f t="shared" si="48"/>
        <v>1770618.04</v>
      </c>
      <c r="E92" s="12">
        <f t="shared" si="48"/>
        <v>1302466.6302239997</v>
      </c>
      <c r="F92" s="12">
        <f t="shared" si="48"/>
        <v>88530.902000000002</v>
      </c>
      <c r="G92" s="12">
        <f t="shared" si="48"/>
        <v>379620.50777600001</v>
      </c>
      <c r="H92" s="12">
        <f t="shared" si="48"/>
        <v>1770618.0400000003</v>
      </c>
      <c r="I92" s="12">
        <f t="shared" si="48"/>
        <v>1302466.6300000001</v>
      </c>
      <c r="J92" s="12">
        <f t="shared" si="48"/>
        <v>88530.900000000009</v>
      </c>
      <c r="K92" s="16">
        <f t="shared" si="48"/>
        <v>379620.51</v>
      </c>
      <c r="L92" s="604"/>
    </row>
    <row r="93" spans="1:13" ht="15.75" thickBot="1" x14ac:dyDescent="0.3">
      <c r="B93" s="282" t="s">
        <v>625</v>
      </c>
      <c r="C93" s="18">
        <f t="shared" ref="C93:K93" si="49">SUM(C87:C92)</f>
        <v>28179578.339999996</v>
      </c>
      <c r="D93" s="18">
        <f t="shared" si="49"/>
        <v>28179578.339999996</v>
      </c>
      <c r="E93" s="18">
        <f t="shared" si="49"/>
        <v>22344159.489349201</v>
      </c>
      <c r="F93" s="18">
        <f t="shared" si="49"/>
        <v>1408978.9170000001</v>
      </c>
      <c r="G93" s="18">
        <f t="shared" si="49"/>
        <v>4426439.9336508</v>
      </c>
      <c r="H93" s="18">
        <f t="shared" si="49"/>
        <v>28179578.339999996</v>
      </c>
      <c r="I93" s="18">
        <f t="shared" si="49"/>
        <v>22378674.379999999</v>
      </c>
      <c r="J93" s="18">
        <f t="shared" si="49"/>
        <v>1408978.92</v>
      </c>
      <c r="K93" s="19">
        <f t="shared" si="49"/>
        <v>4391925.04</v>
      </c>
      <c r="L93" s="604"/>
    </row>
    <row r="94" spans="1:13" x14ac:dyDescent="0.25">
      <c r="C94" s="96">
        <f t="shared" ref="C94:K94" si="50">C6</f>
        <v>28179578.339999996</v>
      </c>
      <c r="D94" s="96">
        <f t="shared" si="50"/>
        <v>28179578.34</v>
      </c>
      <c r="E94" s="96">
        <f t="shared" si="50"/>
        <v>22344159.489349201</v>
      </c>
      <c r="F94" s="96">
        <f t="shared" si="50"/>
        <v>1408978.9170000001</v>
      </c>
      <c r="G94" s="96">
        <f t="shared" si="50"/>
        <v>4426439.9336508</v>
      </c>
      <c r="H94" s="96">
        <f t="shared" si="50"/>
        <v>28179578.340000004</v>
      </c>
      <c r="I94" s="96">
        <f t="shared" si="50"/>
        <v>22378674.380000003</v>
      </c>
      <c r="J94" s="96">
        <f t="shared" si="50"/>
        <v>1408978.92</v>
      </c>
      <c r="K94" s="96">
        <f t="shared" si="50"/>
        <v>4391925.040000001</v>
      </c>
    </row>
    <row r="95" spans="1:13" x14ac:dyDescent="0.25">
      <c r="B95" s="96" t="s">
        <v>627</v>
      </c>
      <c r="C95" s="96">
        <f t="shared" ref="C95:K95" si="51">C93-C94</f>
        <v>0</v>
      </c>
      <c r="D95" s="96">
        <f t="shared" si="51"/>
        <v>0</v>
      </c>
      <c r="E95" s="96">
        <f t="shared" si="51"/>
        <v>0</v>
      </c>
      <c r="F95" s="96">
        <f t="shared" si="51"/>
        <v>0</v>
      </c>
      <c r="G95" s="96">
        <f t="shared" si="51"/>
        <v>0</v>
      </c>
      <c r="H95" s="96">
        <f t="shared" si="51"/>
        <v>0</v>
      </c>
      <c r="I95" s="96">
        <f t="shared" si="51"/>
        <v>0</v>
      </c>
      <c r="J95" s="96">
        <f t="shared" si="51"/>
        <v>0</v>
      </c>
      <c r="K95" s="96">
        <f t="shared" si="51"/>
        <v>0</v>
      </c>
    </row>
  </sheetData>
  <autoFilter ref="A7:O84"/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65" orientation="landscape" r:id="rId1"/>
  <rowBreaks count="1" manualBreakCount="1">
    <brk id="33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/>
    <pageSetUpPr fitToPage="1"/>
  </sheetPr>
  <dimension ref="A1:N95"/>
  <sheetViews>
    <sheetView view="pageBreakPreview" zoomScale="70" zoomScaleNormal="75" zoomScaleSheetLayoutView="70" workbookViewId="0">
      <selection sqref="A1:L3"/>
    </sheetView>
  </sheetViews>
  <sheetFormatPr defaultColWidth="9.140625" defaultRowHeight="15" outlineLevelRow="1" x14ac:dyDescent="0.25"/>
  <cols>
    <col min="1" max="1" width="4.140625" style="109" customWidth="1"/>
    <col min="2" max="2" width="45.140625" style="90" customWidth="1"/>
    <col min="3" max="3" width="16.28515625" style="90" customWidth="1"/>
    <col min="4" max="4" width="14.7109375" style="90" bestFit="1" customWidth="1"/>
    <col min="5" max="5" width="16.5703125" style="90" customWidth="1"/>
    <col min="6" max="6" width="15.28515625" style="90" customWidth="1"/>
    <col min="7" max="7" width="15.7109375" style="90" customWidth="1"/>
    <col min="8" max="8" width="14.7109375" style="90" bestFit="1" customWidth="1"/>
    <col min="9" max="9" width="15.5703125" style="90" customWidth="1"/>
    <col min="10" max="10" width="15" style="90" customWidth="1"/>
    <col min="11" max="11" width="15.5703125" style="90" customWidth="1"/>
    <col min="12" max="12" width="24" style="90" customWidth="1"/>
    <col min="13" max="13" width="11.140625" style="90" customWidth="1"/>
    <col min="14" max="16384" width="9.140625" style="90"/>
  </cols>
  <sheetData>
    <row r="1" spans="1:14" x14ac:dyDescent="0.25">
      <c r="A1" s="814" t="s">
        <v>889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</row>
    <row r="2" spans="1:14" x14ac:dyDescent="0.25">
      <c r="A2" s="814"/>
      <c r="B2" s="814"/>
      <c r="C2" s="814"/>
      <c r="D2" s="814"/>
      <c r="E2" s="814"/>
      <c r="F2" s="814"/>
      <c r="G2" s="814"/>
      <c r="H2" s="814"/>
      <c r="I2" s="814"/>
      <c r="J2" s="814"/>
      <c r="K2" s="814"/>
      <c r="L2" s="814"/>
    </row>
    <row r="3" spans="1:14" ht="15.75" thickBot="1" x14ac:dyDescent="0.3">
      <c r="A3" s="815"/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</row>
    <row r="4" spans="1:14" s="107" customFormat="1" ht="32.25" customHeight="1" x14ac:dyDescent="0.25">
      <c r="A4" s="816" t="s">
        <v>0</v>
      </c>
      <c r="B4" s="818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  <c r="M4" s="803" t="s">
        <v>762</v>
      </c>
    </row>
    <row r="5" spans="1:14" s="107" customFormat="1" ht="52.5" customHeight="1" thickBot="1" x14ac:dyDescent="0.3">
      <c r="A5" s="817"/>
      <c r="B5" s="819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  <c r="M5" s="803"/>
    </row>
    <row r="6" spans="1:14" s="107" customFormat="1" ht="36.75" customHeight="1" thickBot="1" x14ac:dyDescent="0.3">
      <c r="A6" s="812" t="s">
        <v>23</v>
      </c>
      <c r="B6" s="813"/>
      <c r="C6" s="379">
        <f>C7+C10+C13+C20+C24+C27+C30+C33+C36+C41+C44+C47+C50+C52+C55+C58+C61+C67+C73+C79+C82</f>
        <v>39977022.049999997</v>
      </c>
      <c r="D6" s="380">
        <f>E6+F6+G6</f>
        <v>39977022.049999997</v>
      </c>
      <c r="E6" s="378">
        <f>E7+E10+E13+E20+E24+E27+E30+E33+E36+E41+E44+E47+E50+E52+E55+E58+E61+E67+E73+E79+E82</f>
        <v>34854118.9555941</v>
      </c>
      <c r="F6" s="378">
        <f>F7+F10+F13+F20+F24+F27+F30+F33+F36+F41+F44+F47+F50+F52+F55+F58+F61+F67+F73+F79+F82</f>
        <v>1998851.1054999994</v>
      </c>
      <c r="G6" s="377">
        <f>G7+G10+G13+G20+G24+G27+G30+G33+G36+G41+G44+G47+G50+G52+G55+G58+G61+G67+G73+G79+G82</f>
        <v>3124051.9889058983</v>
      </c>
      <c r="H6" s="381">
        <f>I6+J6+K6</f>
        <v>39977022.050000004</v>
      </c>
      <c r="I6" s="382">
        <f>I7+I10+I13+I20+I24+I27+I30+I33+I36+I41+I44+I47+I50+I52+I55+I58+I61+I67+I73+I79+I82</f>
        <v>34892691.24000001</v>
      </c>
      <c r="J6" s="382">
        <f>J7+J10+J13+J20+J24+J27+J30+J33+J36+J41+J44+J47+J50+J52+J55+J58+J61+J67+J73+J79+J82</f>
        <v>1998851.1199999999</v>
      </c>
      <c r="K6" s="383">
        <f>K7+K10+K13+K20+K24+K27+K30+K33+K36+K41+K44+K47+K50+K52+K55+K58+K61+K67+K73+K79+K82</f>
        <v>3085479.69</v>
      </c>
      <c r="L6" s="384"/>
      <c r="M6" s="197"/>
    </row>
    <row r="7" spans="1:14" s="108" customFormat="1" ht="35.25" customHeight="1" x14ac:dyDescent="0.25">
      <c r="A7" s="375">
        <v>1</v>
      </c>
      <c r="B7" s="376" t="s">
        <v>325</v>
      </c>
      <c r="C7" s="372">
        <f>C8+C9</f>
        <v>73179.3</v>
      </c>
      <c r="D7" s="373">
        <f>E7+F7+G7</f>
        <v>73179.3</v>
      </c>
      <c r="E7" s="369">
        <f t="shared" ref="E7:G7" si="0">E8+E9</f>
        <v>53830.693080000005</v>
      </c>
      <c r="F7" s="369">
        <f t="shared" si="0"/>
        <v>3658.9650000000001</v>
      </c>
      <c r="G7" s="370">
        <f t="shared" si="0"/>
        <v>15689.641919999998</v>
      </c>
      <c r="H7" s="371">
        <f>I7+J7+K7</f>
        <v>73179.3</v>
      </c>
      <c r="I7" s="369">
        <f t="shared" ref="I7:K7" si="1">I8+I9</f>
        <v>53830.69</v>
      </c>
      <c r="J7" s="369">
        <f t="shared" si="1"/>
        <v>3658.97</v>
      </c>
      <c r="K7" s="374">
        <f t="shared" si="1"/>
        <v>15689.64</v>
      </c>
      <c r="L7" s="373"/>
    </row>
    <row r="8" spans="1:14" s="166" customFormat="1" ht="15.75" outlineLevel="1" x14ac:dyDescent="0.25">
      <c r="A8" s="196"/>
      <c r="B8" s="200" t="s">
        <v>555</v>
      </c>
      <c r="C8" s="87"/>
      <c r="D8" s="226"/>
      <c r="E8" s="202"/>
      <c r="F8" s="202"/>
      <c r="G8" s="224"/>
      <c r="H8" s="264"/>
      <c r="I8" s="202"/>
      <c r="J8" s="202"/>
      <c r="K8" s="265"/>
      <c r="L8" s="226"/>
      <c r="M8" s="108"/>
      <c r="N8" s="108"/>
    </row>
    <row r="9" spans="1:14" s="254" customFormat="1" ht="15.75" outlineLevel="1" x14ac:dyDescent="0.25">
      <c r="A9" s="255"/>
      <c r="B9" s="256" t="s">
        <v>67</v>
      </c>
      <c r="C9" s="252">
        <v>73179.3</v>
      </c>
      <c r="D9" s="259">
        <f>E9+F9+G9</f>
        <v>73179.3</v>
      </c>
      <c r="E9" s="250">
        <f>C9*0.7356</f>
        <v>53830.693080000005</v>
      </c>
      <c r="F9" s="250">
        <f>C9*0.05</f>
        <v>3658.9650000000001</v>
      </c>
      <c r="G9" s="253">
        <f>C9-E9-F9</f>
        <v>15689.641919999998</v>
      </c>
      <c r="H9" s="249">
        <f>I9+J9+K9</f>
        <v>73179.3</v>
      </c>
      <c r="I9" s="250">
        <v>53830.69</v>
      </c>
      <c r="J9" s="250">
        <v>3658.97</v>
      </c>
      <c r="K9" s="251">
        <v>15689.64</v>
      </c>
      <c r="L9" s="259" t="s">
        <v>723</v>
      </c>
      <c r="M9" s="292"/>
      <c r="N9" s="292"/>
    </row>
    <row r="10" spans="1:14" s="108" customFormat="1" ht="32.25" customHeight="1" x14ac:dyDescent="0.25">
      <c r="A10" s="198">
        <v>2</v>
      </c>
      <c r="B10" s="242" t="s">
        <v>326</v>
      </c>
      <c r="C10" s="84">
        <f t="shared" ref="C10" si="2">C11+C12</f>
        <v>76957.570000000007</v>
      </c>
      <c r="D10" s="225">
        <f t="shared" ref="D10:G10" si="3">D11+D12</f>
        <v>76957.570000000007</v>
      </c>
      <c r="E10" s="201">
        <f t="shared" si="3"/>
        <v>56609.988492000004</v>
      </c>
      <c r="F10" s="201">
        <f t="shared" si="3"/>
        <v>3847.8785000000007</v>
      </c>
      <c r="G10" s="223">
        <f t="shared" si="3"/>
        <v>16499.703008000004</v>
      </c>
      <c r="H10" s="228">
        <f>I10+J10+K10</f>
        <v>76957.569999999992</v>
      </c>
      <c r="I10" s="201">
        <f t="shared" ref="I10:K10" si="4">I11+I12</f>
        <v>56609.99</v>
      </c>
      <c r="J10" s="201">
        <f t="shared" si="4"/>
        <v>3847.88</v>
      </c>
      <c r="K10" s="229">
        <f t="shared" si="4"/>
        <v>16499.7</v>
      </c>
      <c r="L10" s="225"/>
    </row>
    <row r="11" spans="1:14" s="166" customFormat="1" ht="15.75" outlineLevel="1" x14ac:dyDescent="0.25">
      <c r="A11" s="196"/>
      <c r="B11" s="200" t="s">
        <v>555</v>
      </c>
      <c r="C11" s="87"/>
      <c r="D11" s="226"/>
      <c r="E11" s="202"/>
      <c r="F11" s="202"/>
      <c r="G11" s="224"/>
      <c r="H11" s="264"/>
      <c r="I11" s="202"/>
      <c r="J11" s="202"/>
      <c r="K11" s="265"/>
      <c r="L11" s="226"/>
      <c r="M11" s="108"/>
      <c r="N11" s="108"/>
    </row>
    <row r="12" spans="1:14" s="254" customFormat="1" ht="15.75" outlineLevel="1" x14ac:dyDescent="0.25">
      <c r="A12" s="255"/>
      <c r="B12" s="256" t="s">
        <v>67</v>
      </c>
      <c r="C12" s="252">
        <v>76957.570000000007</v>
      </c>
      <c r="D12" s="259">
        <f>E12+F12+G12</f>
        <v>76957.570000000007</v>
      </c>
      <c r="E12" s="250">
        <f>C12*0.7356</f>
        <v>56609.988492000004</v>
      </c>
      <c r="F12" s="250">
        <f>C12*0.05</f>
        <v>3847.8785000000007</v>
      </c>
      <c r="G12" s="253">
        <f>C12-E12-F12</f>
        <v>16499.703008000004</v>
      </c>
      <c r="H12" s="249">
        <f>I12+J12+K12</f>
        <v>76957.569999999992</v>
      </c>
      <c r="I12" s="250">
        <v>56609.99</v>
      </c>
      <c r="J12" s="250">
        <v>3847.88</v>
      </c>
      <c r="K12" s="251">
        <v>16499.7</v>
      </c>
      <c r="L12" s="259" t="s">
        <v>723</v>
      </c>
      <c r="M12" s="292"/>
      <c r="N12" s="292"/>
    </row>
    <row r="13" spans="1:14" s="108" customFormat="1" ht="31.5" x14ac:dyDescent="0.25">
      <c r="A13" s="198">
        <v>3</v>
      </c>
      <c r="B13" s="203" t="s">
        <v>317</v>
      </c>
      <c r="C13" s="84">
        <f>SUM(C14:C19)</f>
        <v>17802690.48</v>
      </c>
      <c r="D13" s="201">
        <f>SUM(D14:D19)</f>
        <v>17802690.48</v>
      </c>
      <c r="E13" s="201">
        <f>SUM(E14:E19)</f>
        <v>15957441.606603999</v>
      </c>
      <c r="F13" s="201">
        <f t="shared" ref="F13:G13" si="5">SUM(F14:F19)</f>
        <v>890134.52700000012</v>
      </c>
      <c r="G13" s="201">
        <f t="shared" si="5"/>
        <v>955114.34639599978</v>
      </c>
      <c r="H13" s="228">
        <f t="shared" ref="H13:H19" si="6">I13+J13+K13</f>
        <v>17802690.48</v>
      </c>
      <c r="I13" s="201">
        <f>SUM(I14:I19)</f>
        <v>15957441.609999999</v>
      </c>
      <c r="J13" s="201">
        <f t="shared" ref="J13:K13" si="7">SUM(J14:J19)</f>
        <v>890134.53</v>
      </c>
      <c r="K13" s="229">
        <f t="shared" si="7"/>
        <v>955114.34</v>
      </c>
      <c r="L13" s="225"/>
    </row>
    <row r="14" spans="1:14" s="254" customFormat="1" ht="15.75" outlineLevel="1" x14ac:dyDescent="0.25">
      <c r="A14" s="255"/>
      <c r="B14" s="588" t="s">
        <v>64</v>
      </c>
      <c r="C14" s="252">
        <v>13519770.49</v>
      </c>
      <c r="D14" s="259">
        <f t="shared" ref="D14:D16" si="8">E14+F14+G14</f>
        <v>13519770.49</v>
      </c>
      <c r="E14" s="250">
        <v>12187255.174251957</v>
      </c>
      <c r="F14" s="250">
        <v>675988.52683210361</v>
      </c>
      <c r="G14" s="253">
        <v>656526.78891593986</v>
      </c>
      <c r="H14" s="249">
        <f t="shared" si="6"/>
        <v>13519770.489999998</v>
      </c>
      <c r="I14" s="250">
        <v>12187255.17</v>
      </c>
      <c r="J14" s="250">
        <v>675988.53</v>
      </c>
      <c r="K14" s="251">
        <v>656526.79</v>
      </c>
      <c r="L14" s="259" t="s">
        <v>750</v>
      </c>
      <c r="M14" s="608" t="s">
        <v>767</v>
      </c>
      <c r="N14" s="292"/>
    </row>
    <row r="15" spans="1:14" s="254" customFormat="1" ht="15.75" outlineLevel="1" x14ac:dyDescent="0.25">
      <c r="A15" s="255"/>
      <c r="B15" s="588" t="s">
        <v>65</v>
      </c>
      <c r="C15" s="252">
        <v>2018430.77</v>
      </c>
      <c r="D15" s="259">
        <f t="shared" si="8"/>
        <v>2018430.7699999998</v>
      </c>
      <c r="E15" s="250">
        <v>1819493.227621489</v>
      </c>
      <c r="F15" s="250">
        <v>100921.53884817082</v>
      </c>
      <c r="G15" s="253">
        <v>98016.003530340109</v>
      </c>
      <c r="H15" s="249">
        <f t="shared" si="6"/>
        <v>2018430.77</v>
      </c>
      <c r="I15" s="250">
        <v>1819493.23</v>
      </c>
      <c r="J15" s="250">
        <v>100921.54</v>
      </c>
      <c r="K15" s="251">
        <v>98016</v>
      </c>
      <c r="L15" s="259" t="s">
        <v>750</v>
      </c>
      <c r="M15" s="608" t="s">
        <v>767</v>
      </c>
      <c r="N15" s="292"/>
    </row>
    <row r="16" spans="1:14" s="254" customFormat="1" ht="15.75" outlineLevel="1" x14ac:dyDescent="0.25">
      <c r="A16" s="255"/>
      <c r="B16" s="588" t="s">
        <v>66</v>
      </c>
      <c r="C16" s="252">
        <v>1853527.36</v>
      </c>
      <c r="D16" s="259">
        <f t="shared" si="8"/>
        <v>1853527.3599999999</v>
      </c>
      <c r="E16" s="250">
        <v>1670842.7798745546</v>
      </c>
      <c r="F16" s="250">
        <v>92676.368319725691</v>
      </c>
      <c r="G16" s="253">
        <v>90008.211805719737</v>
      </c>
      <c r="H16" s="249">
        <f t="shared" si="6"/>
        <v>1853527.3599999999</v>
      </c>
      <c r="I16" s="250">
        <v>1670842.78</v>
      </c>
      <c r="J16" s="250">
        <v>92676.37</v>
      </c>
      <c r="K16" s="251">
        <v>90008.21</v>
      </c>
      <c r="L16" s="259" t="s">
        <v>750</v>
      </c>
      <c r="M16" s="608" t="s">
        <v>767</v>
      </c>
      <c r="N16" s="292"/>
    </row>
    <row r="17" spans="1:14" s="166" customFormat="1" ht="15.75" outlineLevel="1" x14ac:dyDescent="0.25">
      <c r="A17" s="196"/>
      <c r="B17" s="204" t="s">
        <v>555</v>
      </c>
      <c r="C17" s="87"/>
      <c r="D17" s="226"/>
      <c r="E17" s="202"/>
      <c r="F17" s="202"/>
      <c r="G17" s="224"/>
      <c r="H17" s="264">
        <f t="shared" si="6"/>
        <v>0</v>
      </c>
      <c r="I17" s="202"/>
      <c r="J17" s="202"/>
      <c r="K17" s="265"/>
      <c r="L17" s="226"/>
      <c r="M17" s="108"/>
      <c r="N17" s="108"/>
    </row>
    <row r="18" spans="1:14" s="254" customFormat="1" ht="15.75" outlineLevel="1" x14ac:dyDescent="0.25">
      <c r="A18" s="255"/>
      <c r="B18" s="256" t="s">
        <v>67</v>
      </c>
      <c r="C18" s="252">
        <f>311848.88</f>
        <v>311848.88</v>
      </c>
      <c r="D18" s="259">
        <f>SUM(E18:G18)</f>
        <v>311848.88</v>
      </c>
      <c r="E18" s="257">
        <f>C18*66.36%</f>
        <v>206942.916768</v>
      </c>
      <c r="F18" s="257">
        <f>C18*5%</f>
        <v>15592.444000000001</v>
      </c>
      <c r="G18" s="258">
        <f>C18-E18-F18</f>
        <v>89313.519232000006</v>
      </c>
      <c r="H18" s="249">
        <f t="shared" si="6"/>
        <v>311848.88</v>
      </c>
      <c r="I18" s="250">
        <v>206942.92</v>
      </c>
      <c r="J18" s="250">
        <v>15592.44</v>
      </c>
      <c r="K18" s="251">
        <v>89313.52</v>
      </c>
      <c r="L18" s="259" t="s">
        <v>619</v>
      </c>
      <c r="M18" s="292"/>
      <c r="N18" s="292"/>
    </row>
    <row r="19" spans="1:14" s="254" customFormat="1" ht="15.75" outlineLevel="1" x14ac:dyDescent="0.25">
      <c r="A19" s="255"/>
      <c r="B19" s="256" t="s">
        <v>67</v>
      </c>
      <c r="C19" s="252">
        <v>99112.98</v>
      </c>
      <c r="D19" s="259">
        <f>E19+F19+G19</f>
        <v>99112.98</v>
      </c>
      <c r="E19" s="250">
        <f>C19*0.7356</f>
        <v>72907.508088000002</v>
      </c>
      <c r="F19" s="250">
        <f>C19*0.05</f>
        <v>4955.6490000000003</v>
      </c>
      <c r="G19" s="253">
        <f>C19-E19-F19</f>
        <v>21249.822911999992</v>
      </c>
      <c r="H19" s="249">
        <f t="shared" si="6"/>
        <v>99112.979999999981</v>
      </c>
      <c r="I19" s="250">
        <v>72907.509999999995</v>
      </c>
      <c r="J19" s="250">
        <v>4955.6499999999996</v>
      </c>
      <c r="K19" s="251">
        <v>21249.82</v>
      </c>
      <c r="L19" s="259" t="s">
        <v>723</v>
      </c>
      <c r="M19" s="292"/>
      <c r="N19" s="292"/>
    </row>
    <row r="20" spans="1:14" s="108" customFormat="1" ht="36" customHeight="1" x14ac:dyDescent="0.25">
      <c r="A20" s="198">
        <v>4</v>
      </c>
      <c r="B20" s="242" t="s">
        <v>591</v>
      </c>
      <c r="C20" s="84">
        <f>SUM(C21:C23)</f>
        <v>91241.23</v>
      </c>
      <c r="D20" s="225">
        <f>E20+F20+G20</f>
        <v>91241.23</v>
      </c>
      <c r="E20" s="201">
        <f>SUM(E21:E23)</f>
        <v>67117.048788</v>
      </c>
      <c r="F20" s="201">
        <f>SUM(F21:F23)</f>
        <v>4562.0614999999998</v>
      </c>
      <c r="G20" s="223">
        <f>SUM(G21:G23)</f>
        <v>19562.119711999996</v>
      </c>
      <c r="H20" s="228">
        <f>I20+J20+K20</f>
        <v>91241.23</v>
      </c>
      <c r="I20" s="201">
        <f>SUM(I21:I23)</f>
        <v>67117.05</v>
      </c>
      <c r="J20" s="201">
        <f>SUM(J21:J23)</f>
        <v>4562.0600000000004</v>
      </c>
      <c r="K20" s="229">
        <f>SUM(K21:K23)</f>
        <v>19562.12</v>
      </c>
      <c r="L20" s="225"/>
    </row>
    <row r="21" spans="1:14" s="166" customFormat="1" ht="15.75" outlineLevel="1" x14ac:dyDescent="0.25">
      <c r="A21" s="196"/>
      <c r="B21" s="200" t="s">
        <v>68</v>
      </c>
      <c r="C21" s="87"/>
      <c r="D21" s="226"/>
      <c r="E21" s="202"/>
      <c r="F21" s="202"/>
      <c r="G21" s="224"/>
      <c r="H21" s="264"/>
      <c r="I21" s="202"/>
      <c r="J21" s="202"/>
      <c r="K21" s="265"/>
      <c r="L21" s="226"/>
      <c r="M21" s="108"/>
      <c r="N21" s="108"/>
    </row>
    <row r="22" spans="1:14" s="166" customFormat="1" ht="15.75" outlineLevel="1" x14ac:dyDescent="0.25">
      <c r="A22" s="196"/>
      <c r="B22" s="200" t="s">
        <v>555</v>
      </c>
      <c r="C22" s="87"/>
      <c r="D22" s="226"/>
      <c r="E22" s="202"/>
      <c r="F22" s="202"/>
      <c r="G22" s="224"/>
      <c r="H22" s="264"/>
      <c r="I22" s="202"/>
      <c r="J22" s="202"/>
      <c r="K22" s="265"/>
      <c r="L22" s="226"/>
      <c r="M22" s="108"/>
      <c r="N22" s="108"/>
    </row>
    <row r="23" spans="1:14" s="254" customFormat="1" ht="15.75" outlineLevel="1" x14ac:dyDescent="0.25">
      <c r="A23" s="255"/>
      <c r="B23" s="256" t="s">
        <v>67</v>
      </c>
      <c r="C23" s="252">
        <v>91241.23</v>
      </c>
      <c r="D23" s="259">
        <f>E23+F23+G23</f>
        <v>91241.23</v>
      </c>
      <c r="E23" s="250">
        <f>C23*0.7356</f>
        <v>67117.048788</v>
      </c>
      <c r="F23" s="250">
        <f>C23*0.05</f>
        <v>4562.0614999999998</v>
      </c>
      <c r="G23" s="253">
        <f>C23-E23-F23</f>
        <v>19562.119711999996</v>
      </c>
      <c r="H23" s="249">
        <f>I23+J23+K23</f>
        <v>91241.23</v>
      </c>
      <c r="I23" s="250">
        <v>67117.05</v>
      </c>
      <c r="J23" s="250">
        <v>4562.0600000000004</v>
      </c>
      <c r="K23" s="251">
        <v>19562.12</v>
      </c>
      <c r="L23" s="259" t="s">
        <v>723</v>
      </c>
      <c r="M23" s="292"/>
      <c r="N23" s="292"/>
    </row>
    <row r="24" spans="1:14" s="108" customFormat="1" ht="34.5" customHeight="1" x14ac:dyDescent="0.25">
      <c r="A24" s="198">
        <v>5</v>
      </c>
      <c r="B24" s="242" t="s">
        <v>328</v>
      </c>
      <c r="C24" s="84">
        <f t="shared" ref="C24" si="9">C25+C26</f>
        <v>67846.87</v>
      </c>
      <c r="D24" s="225">
        <f>E24+F24+G24</f>
        <v>67846.87</v>
      </c>
      <c r="E24" s="201">
        <f t="shared" ref="E24:G24" si="10">E25+E26</f>
        <v>49908.157571999996</v>
      </c>
      <c r="F24" s="201">
        <f t="shared" si="10"/>
        <v>3392.3434999999999</v>
      </c>
      <c r="G24" s="223">
        <f t="shared" si="10"/>
        <v>14546.368928</v>
      </c>
      <c r="H24" s="228">
        <f>I24+J24+K24</f>
        <v>67846.87</v>
      </c>
      <c r="I24" s="201">
        <f t="shared" ref="I24:K24" si="11">I25+I26</f>
        <v>49908.160000000003</v>
      </c>
      <c r="J24" s="201">
        <f t="shared" si="11"/>
        <v>3392.34</v>
      </c>
      <c r="K24" s="229">
        <f t="shared" si="11"/>
        <v>14546.37</v>
      </c>
      <c r="L24" s="225"/>
    </row>
    <row r="25" spans="1:14" s="166" customFormat="1" ht="15.75" outlineLevel="1" x14ac:dyDescent="0.25">
      <c r="A25" s="196"/>
      <c r="B25" s="200" t="s">
        <v>555</v>
      </c>
      <c r="C25" s="87"/>
      <c r="D25" s="226"/>
      <c r="E25" s="202"/>
      <c r="F25" s="202"/>
      <c r="G25" s="224"/>
      <c r="H25" s="264"/>
      <c r="I25" s="202"/>
      <c r="J25" s="202"/>
      <c r="K25" s="265"/>
      <c r="L25" s="226"/>
      <c r="M25" s="108"/>
      <c r="N25" s="108"/>
    </row>
    <row r="26" spans="1:14" s="254" customFormat="1" ht="15.75" outlineLevel="1" x14ac:dyDescent="0.25">
      <c r="A26" s="255"/>
      <c r="B26" s="256" t="s">
        <v>67</v>
      </c>
      <c r="C26" s="252">
        <v>67846.87</v>
      </c>
      <c r="D26" s="259">
        <f>E26+F26+G26</f>
        <v>67846.87</v>
      </c>
      <c r="E26" s="250">
        <f>C26*0.7356</f>
        <v>49908.157571999996</v>
      </c>
      <c r="F26" s="250">
        <f>C26*0.05</f>
        <v>3392.3434999999999</v>
      </c>
      <c r="G26" s="253">
        <f>C26-E26-F26</f>
        <v>14546.368928</v>
      </c>
      <c r="H26" s="249">
        <f>I26+J26+K26</f>
        <v>67846.87</v>
      </c>
      <c r="I26" s="250">
        <v>49908.160000000003</v>
      </c>
      <c r="J26" s="250">
        <v>3392.34</v>
      </c>
      <c r="K26" s="251">
        <v>14546.37</v>
      </c>
      <c r="L26" s="259" t="s">
        <v>723</v>
      </c>
      <c r="M26" s="292"/>
      <c r="N26" s="292"/>
    </row>
    <row r="27" spans="1:14" s="108" customFormat="1" ht="33" customHeight="1" x14ac:dyDescent="0.25">
      <c r="A27" s="198">
        <v>6</v>
      </c>
      <c r="B27" s="242" t="s">
        <v>327</v>
      </c>
      <c r="C27" s="84">
        <f>C28+C29</f>
        <v>97436.28</v>
      </c>
      <c r="D27" s="225">
        <f>E27+F27+G27</f>
        <v>97436.28</v>
      </c>
      <c r="E27" s="201">
        <f t="shared" ref="E27:G27" si="12">E28+E29</f>
        <v>71674.127567999996</v>
      </c>
      <c r="F27" s="201">
        <f t="shared" si="12"/>
        <v>4871.8140000000003</v>
      </c>
      <c r="G27" s="223">
        <f t="shared" si="12"/>
        <v>20890.338432000004</v>
      </c>
      <c r="H27" s="228">
        <f>I27+J27+K27</f>
        <v>97436.28</v>
      </c>
      <c r="I27" s="201">
        <f t="shared" ref="I27:K27" si="13">I28+I29</f>
        <v>71674.13</v>
      </c>
      <c r="J27" s="201">
        <f t="shared" si="13"/>
        <v>4871.8100000000004</v>
      </c>
      <c r="K27" s="229">
        <f t="shared" si="13"/>
        <v>20890.34</v>
      </c>
      <c r="L27" s="225"/>
    </row>
    <row r="28" spans="1:14" s="166" customFormat="1" ht="24" customHeight="1" outlineLevel="1" x14ac:dyDescent="0.25">
      <c r="A28" s="196"/>
      <c r="B28" s="200" t="s">
        <v>555</v>
      </c>
      <c r="C28" s="87"/>
      <c r="D28" s="226"/>
      <c r="E28" s="202"/>
      <c r="F28" s="202"/>
      <c r="G28" s="224"/>
      <c r="H28" s="264"/>
      <c r="I28" s="202"/>
      <c r="J28" s="202"/>
      <c r="K28" s="265"/>
      <c r="L28" s="226"/>
      <c r="M28" s="108"/>
      <c r="N28" s="108"/>
    </row>
    <row r="29" spans="1:14" s="254" customFormat="1" ht="15.75" outlineLevel="1" x14ac:dyDescent="0.25">
      <c r="A29" s="255"/>
      <c r="B29" s="256" t="s">
        <v>67</v>
      </c>
      <c r="C29" s="252">
        <v>97436.28</v>
      </c>
      <c r="D29" s="259">
        <f>E29+F29+G29</f>
        <v>97436.28</v>
      </c>
      <c r="E29" s="250">
        <f>C29*0.7356</f>
        <v>71674.127567999996</v>
      </c>
      <c r="F29" s="250">
        <f>C29*0.05</f>
        <v>4871.8140000000003</v>
      </c>
      <c r="G29" s="253">
        <f>C29-E29-F29</f>
        <v>20890.338432000004</v>
      </c>
      <c r="H29" s="249">
        <f>I29+J29+K29</f>
        <v>97436.28</v>
      </c>
      <c r="I29" s="250">
        <v>71674.13</v>
      </c>
      <c r="J29" s="250">
        <v>4871.8100000000004</v>
      </c>
      <c r="K29" s="251">
        <v>20890.34</v>
      </c>
      <c r="L29" s="259" t="s">
        <v>723</v>
      </c>
      <c r="M29" s="292"/>
      <c r="N29" s="292"/>
    </row>
    <row r="30" spans="1:14" s="108" customFormat="1" ht="39.75" customHeight="1" x14ac:dyDescent="0.25">
      <c r="A30" s="198">
        <v>7</v>
      </c>
      <c r="B30" s="199" t="s">
        <v>329</v>
      </c>
      <c r="C30" s="84">
        <f>C31+C32</f>
        <v>79409.88</v>
      </c>
      <c r="D30" s="225">
        <f>E30+F30+G30</f>
        <v>79409.88</v>
      </c>
      <c r="E30" s="201">
        <f t="shared" ref="E30:G30" si="14">E31+E32</f>
        <v>58413.907728000006</v>
      </c>
      <c r="F30" s="201">
        <f t="shared" si="14"/>
        <v>3970.4940000000006</v>
      </c>
      <c r="G30" s="223">
        <f t="shared" si="14"/>
        <v>17025.478272</v>
      </c>
      <c r="H30" s="228">
        <f>I30+J30+K30</f>
        <v>79409.88</v>
      </c>
      <c r="I30" s="201">
        <f t="shared" ref="I30:K30" si="15">I31+I32</f>
        <v>58413.91</v>
      </c>
      <c r="J30" s="201">
        <f t="shared" si="15"/>
        <v>3970.49</v>
      </c>
      <c r="K30" s="229">
        <f t="shared" si="15"/>
        <v>17025.48</v>
      </c>
      <c r="L30" s="225"/>
    </row>
    <row r="31" spans="1:14" s="166" customFormat="1" ht="15.75" outlineLevel="1" x14ac:dyDescent="0.25">
      <c r="A31" s="196"/>
      <c r="B31" s="200" t="s">
        <v>555</v>
      </c>
      <c r="C31" s="87"/>
      <c r="D31" s="226"/>
      <c r="E31" s="202"/>
      <c r="F31" s="202"/>
      <c r="G31" s="224"/>
      <c r="H31" s="264"/>
      <c r="I31" s="202"/>
      <c r="J31" s="202"/>
      <c r="K31" s="265"/>
      <c r="L31" s="226"/>
      <c r="M31" s="108"/>
      <c r="N31" s="108"/>
    </row>
    <row r="32" spans="1:14" s="254" customFormat="1" ht="15.75" outlineLevel="1" x14ac:dyDescent="0.25">
      <c r="A32" s="255"/>
      <c r="B32" s="256" t="s">
        <v>67</v>
      </c>
      <c r="C32" s="252">
        <v>79409.88</v>
      </c>
      <c r="D32" s="259">
        <f>E32+F32+G32</f>
        <v>79409.88</v>
      </c>
      <c r="E32" s="250">
        <f>C32*0.7356</f>
        <v>58413.907728000006</v>
      </c>
      <c r="F32" s="250">
        <f>C32*0.05</f>
        <v>3970.4940000000006</v>
      </c>
      <c r="G32" s="253">
        <f>C32-E32-F32</f>
        <v>17025.478272</v>
      </c>
      <c r="H32" s="249">
        <f>I32+J32+K32</f>
        <v>79409.88</v>
      </c>
      <c r="I32" s="250">
        <v>58413.91</v>
      </c>
      <c r="J32" s="250">
        <v>3970.49</v>
      </c>
      <c r="K32" s="251">
        <v>17025.48</v>
      </c>
      <c r="L32" s="259" t="s">
        <v>723</v>
      </c>
      <c r="M32" s="292"/>
      <c r="N32" s="292"/>
    </row>
    <row r="33" spans="1:14" s="292" customFormat="1" ht="31.5" customHeight="1" x14ac:dyDescent="0.25">
      <c r="A33" s="589">
        <v>8</v>
      </c>
      <c r="B33" s="590" t="s">
        <v>318</v>
      </c>
      <c r="C33" s="290">
        <f t="shared" ref="C33" si="16">C34+C35</f>
        <v>8429671.2699999996</v>
      </c>
      <c r="D33" s="564">
        <f>E33+F33+G33</f>
        <v>8429671.2699999996</v>
      </c>
      <c r="E33" s="289">
        <f t="shared" ref="E33:G33" si="17">E34+E35</f>
        <v>7165149.5488345008</v>
      </c>
      <c r="F33" s="289">
        <f t="shared" si="17"/>
        <v>421483.56349999999</v>
      </c>
      <c r="G33" s="291">
        <f t="shared" si="17"/>
        <v>843038.15766549925</v>
      </c>
      <c r="H33" s="288">
        <f>I33+J33+K33</f>
        <v>8429671.2699999996</v>
      </c>
      <c r="I33" s="289">
        <f t="shared" ref="I33:K33" si="18">I34+I35</f>
        <v>7185030.3099999996</v>
      </c>
      <c r="J33" s="289">
        <f t="shared" si="18"/>
        <v>421483.56</v>
      </c>
      <c r="K33" s="247">
        <f t="shared" si="18"/>
        <v>823157.4</v>
      </c>
      <c r="L33" s="564"/>
    </row>
    <row r="34" spans="1:14" s="254" customFormat="1" ht="15.75" outlineLevel="1" x14ac:dyDescent="0.25">
      <c r="A34" s="255"/>
      <c r="B34" s="256" t="s">
        <v>555</v>
      </c>
      <c r="C34" s="252">
        <v>8324342.75</v>
      </c>
      <c r="D34" s="259">
        <f>E34+F34+G34</f>
        <v>8324342.75</v>
      </c>
      <c r="E34" s="250">
        <f>C34*0.85235</f>
        <v>7095253.5429625008</v>
      </c>
      <c r="F34" s="250">
        <f>C34*0.05</f>
        <v>416217.13750000001</v>
      </c>
      <c r="G34" s="253">
        <f>C34-E34-F34</f>
        <v>812872.06953749922</v>
      </c>
      <c r="H34" s="249">
        <f>I34+J34+K34</f>
        <v>8324342.75</v>
      </c>
      <c r="I34" s="250">
        <v>7115134.2999999998</v>
      </c>
      <c r="J34" s="250">
        <v>416217.14</v>
      </c>
      <c r="K34" s="251">
        <v>792991.31</v>
      </c>
      <c r="L34" s="259" t="s">
        <v>750</v>
      </c>
      <c r="M34" s="292"/>
      <c r="N34" s="292"/>
    </row>
    <row r="35" spans="1:14" s="254" customFormat="1" ht="15.75" outlineLevel="1" x14ac:dyDescent="0.25">
      <c r="A35" s="255"/>
      <c r="B35" s="256" t="s">
        <v>67</v>
      </c>
      <c r="C35" s="252">
        <v>105328.52</v>
      </c>
      <c r="D35" s="259">
        <f>SUM(E35:G35)</f>
        <v>105328.52000000002</v>
      </c>
      <c r="E35" s="257">
        <f>C35*66.36%</f>
        <v>69896.005871999994</v>
      </c>
      <c r="F35" s="257">
        <f>C35*5%</f>
        <v>5266.4260000000004</v>
      </c>
      <c r="G35" s="258">
        <f>C35-E35-F35</f>
        <v>30166.08812800001</v>
      </c>
      <c r="H35" s="249">
        <f>I35+J35+K35</f>
        <v>105328.51999999999</v>
      </c>
      <c r="I35" s="250">
        <v>69896.009999999995</v>
      </c>
      <c r="J35" s="250">
        <v>5266.42</v>
      </c>
      <c r="K35" s="251">
        <v>30166.09</v>
      </c>
      <c r="L35" s="259" t="s">
        <v>619</v>
      </c>
      <c r="M35" s="292"/>
      <c r="N35" s="292"/>
    </row>
    <row r="36" spans="1:14" s="108" customFormat="1" ht="30" customHeight="1" x14ac:dyDescent="0.25">
      <c r="A36" s="198">
        <v>9</v>
      </c>
      <c r="B36" s="203" t="s">
        <v>319</v>
      </c>
      <c r="C36" s="84">
        <f>SUM(C37:C40)</f>
        <v>367537.89</v>
      </c>
      <c r="D36" s="225">
        <f>E36+F36+G36</f>
        <v>367537.89</v>
      </c>
      <c r="E36" s="201">
        <f>SUM(E37:E40)</f>
        <v>243898.14380399999</v>
      </c>
      <c r="F36" s="201">
        <f>SUM(F37:F40)</f>
        <v>18376.894500000002</v>
      </c>
      <c r="G36" s="223">
        <f>SUM(G37:G40)</f>
        <v>105262.85169600003</v>
      </c>
      <c r="H36" s="228">
        <f t="shared" ref="H36:H40" si="19">I36+J36+K36</f>
        <v>367537.89</v>
      </c>
      <c r="I36" s="201">
        <f>SUM(I37:I40)</f>
        <v>243898.14</v>
      </c>
      <c r="J36" s="201">
        <f>SUM(J37:J40)</f>
        <v>18376.900000000001</v>
      </c>
      <c r="K36" s="229">
        <f>SUM(K37:K40)</f>
        <v>105262.85</v>
      </c>
      <c r="L36" s="225"/>
    </row>
    <row r="37" spans="1:14" s="166" customFormat="1" ht="15.75" outlineLevel="1" x14ac:dyDescent="0.25">
      <c r="A37" s="196"/>
      <c r="B37" s="204" t="s">
        <v>64</v>
      </c>
      <c r="C37" s="87"/>
      <c r="D37" s="226"/>
      <c r="E37" s="202"/>
      <c r="F37" s="202"/>
      <c r="G37" s="224"/>
      <c r="H37" s="264">
        <f t="shared" si="19"/>
        <v>0</v>
      </c>
      <c r="I37" s="202"/>
      <c r="J37" s="202"/>
      <c r="K37" s="265"/>
      <c r="L37" s="226"/>
      <c r="M37" s="108"/>
      <c r="N37" s="108"/>
    </row>
    <row r="38" spans="1:14" s="166" customFormat="1" ht="15.75" outlineLevel="1" x14ac:dyDescent="0.25">
      <c r="A38" s="196"/>
      <c r="B38" s="204" t="s">
        <v>65</v>
      </c>
      <c r="C38" s="87"/>
      <c r="D38" s="226"/>
      <c r="E38" s="202"/>
      <c r="F38" s="202"/>
      <c r="G38" s="224"/>
      <c r="H38" s="264">
        <f t="shared" si="19"/>
        <v>0</v>
      </c>
      <c r="I38" s="202"/>
      <c r="J38" s="202"/>
      <c r="K38" s="265"/>
      <c r="L38" s="226"/>
      <c r="M38" s="108"/>
      <c r="N38" s="108"/>
    </row>
    <row r="39" spans="1:14" s="166" customFormat="1" ht="15.75" outlineLevel="1" x14ac:dyDescent="0.25">
      <c r="A39" s="196"/>
      <c r="B39" s="204" t="s">
        <v>66</v>
      </c>
      <c r="C39" s="87"/>
      <c r="D39" s="226"/>
      <c r="E39" s="202"/>
      <c r="F39" s="202"/>
      <c r="G39" s="224"/>
      <c r="H39" s="264">
        <f t="shared" si="19"/>
        <v>0</v>
      </c>
      <c r="I39" s="202"/>
      <c r="J39" s="202"/>
      <c r="K39" s="265"/>
      <c r="L39" s="226"/>
      <c r="M39" s="108"/>
      <c r="N39" s="108"/>
    </row>
    <row r="40" spans="1:14" s="254" customFormat="1" ht="15.75" outlineLevel="1" x14ac:dyDescent="0.25">
      <c r="A40" s="255"/>
      <c r="B40" s="256" t="s">
        <v>67</v>
      </c>
      <c r="C40" s="252">
        <v>367537.89</v>
      </c>
      <c r="D40" s="259">
        <f>SUM(E40:G40)</f>
        <v>367537.89</v>
      </c>
      <c r="E40" s="257">
        <f>C40*66.36%</f>
        <v>243898.14380399999</v>
      </c>
      <c r="F40" s="257">
        <f>C40*5%</f>
        <v>18376.894500000002</v>
      </c>
      <c r="G40" s="258">
        <f>C40-E40-F40</f>
        <v>105262.85169600003</v>
      </c>
      <c r="H40" s="249">
        <f t="shared" si="19"/>
        <v>367537.89</v>
      </c>
      <c r="I40" s="250">
        <v>243898.14</v>
      </c>
      <c r="J40" s="250">
        <v>18376.900000000001</v>
      </c>
      <c r="K40" s="251">
        <v>105262.85</v>
      </c>
      <c r="L40" s="259" t="s">
        <v>619</v>
      </c>
      <c r="M40" s="292"/>
      <c r="N40" s="292"/>
    </row>
    <row r="41" spans="1:14" s="292" customFormat="1" ht="30" customHeight="1" x14ac:dyDescent="0.25">
      <c r="A41" s="589">
        <v>10</v>
      </c>
      <c r="B41" s="590" t="s">
        <v>320</v>
      </c>
      <c r="C41" s="290">
        <f t="shared" ref="C41" si="20">C42+C43</f>
        <v>7247255.0899999999</v>
      </c>
      <c r="D41" s="564">
        <f>E41+F41+G41</f>
        <v>7247255.0899999989</v>
      </c>
      <c r="E41" s="289">
        <f t="shared" ref="E41:G41" si="21">E42+E43</f>
        <v>6158506.3654990001</v>
      </c>
      <c r="F41" s="289">
        <f t="shared" si="21"/>
        <v>362362.75450000004</v>
      </c>
      <c r="G41" s="291">
        <f t="shared" si="21"/>
        <v>726385.9700009994</v>
      </c>
      <c r="H41" s="288">
        <f>I41+J41+K41</f>
        <v>7247255.0899999999</v>
      </c>
      <c r="I41" s="289">
        <f t="shared" ref="I41:K41" si="22">I42+I43</f>
        <v>6177197.8799999999</v>
      </c>
      <c r="J41" s="289">
        <f t="shared" si="22"/>
        <v>362362.75</v>
      </c>
      <c r="K41" s="247">
        <f t="shared" si="22"/>
        <v>707694.46</v>
      </c>
      <c r="L41" s="564"/>
    </row>
    <row r="42" spans="1:14" s="254" customFormat="1" ht="15.75" outlineLevel="1" x14ac:dyDescent="0.25">
      <c r="A42" s="255"/>
      <c r="B42" s="588" t="s">
        <v>555</v>
      </c>
      <c r="C42" s="252">
        <v>7148227.2199999997</v>
      </c>
      <c r="D42" s="259">
        <f>E42+F42+G42</f>
        <v>7148227.2199999988</v>
      </c>
      <c r="E42" s="250">
        <f>C42*0.85235</f>
        <v>6092791.4709670004</v>
      </c>
      <c r="F42" s="250">
        <f>C42*0.05</f>
        <v>357411.36100000003</v>
      </c>
      <c r="G42" s="253">
        <f>C42-E42-F42</f>
        <v>698024.38803299936</v>
      </c>
      <c r="H42" s="249">
        <f>I42+J42+K42</f>
        <v>7148227.2200000007</v>
      </c>
      <c r="I42" s="250">
        <v>6111482.9900000002</v>
      </c>
      <c r="J42" s="250">
        <v>357411.36</v>
      </c>
      <c r="K42" s="251">
        <v>679332.87</v>
      </c>
      <c r="L42" s="259" t="s">
        <v>750</v>
      </c>
      <c r="M42" s="292"/>
      <c r="N42" s="292"/>
    </row>
    <row r="43" spans="1:14" s="254" customFormat="1" ht="15.75" outlineLevel="1" x14ac:dyDescent="0.25">
      <c r="A43" s="255"/>
      <c r="B43" s="256" t="s">
        <v>67</v>
      </c>
      <c r="C43" s="252">
        <v>99027.87</v>
      </c>
      <c r="D43" s="259">
        <f>SUM(E43:G43)</f>
        <v>99027.87</v>
      </c>
      <c r="E43" s="257">
        <f>C43*66.36%</f>
        <v>65714.894531999991</v>
      </c>
      <c r="F43" s="257">
        <f>C43*5%</f>
        <v>4951.3935000000001</v>
      </c>
      <c r="G43" s="258">
        <f>C43-E43-F43</f>
        <v>28361.581968000006</v>
      </c>
      <c r="H43" s="249">
        <f>I43+J43+K43</f>
        <v>99027.87</v>
      </c>
      <c r="I43" s="250">
        <v>65714.89</v>
      </c>
      <c r="J43" s="250">
        <v>4951.3900000000003</v>
      </c>
      <c r="K43" s="251">
        <v>28361.59</v>
      </c>
      <c r="L43" s="259" t="s">
        <v>619</v>
      </c>
      <c r="M43" s="292"/>
      <c r="N43" s="292"/>
    </row>
    <row r="44" spans="1:14" s="108" customFormat="1" ht="37.5" customHeight="1" x14ac:dyDescent="0.25">
      <c r="A44" s="198">
        <v>11</v>
      </c>
      <c r="B44" s="203" t="s">
        <v>321</v>
      </c>
      <c r="C44" s="84">
        <f t="shared" ref="C44" si="23">C45+C46</f>
        <v>534099.79</v>
      </c>
      <c r="D44" s="225">
        <f>E44+F44+G44</f>
        <v>534099.79</v>
      </c>
      <c r="E44" s="201">
        <f t="shared" ref="E44:G44" si="24">E45+E46</f>
        <v>478745.68776440003</v>
      </c>
      <c r="F44" s="201">
        <f t="shared" si="24"/>
        <v>26704.989500000003</v>
      </c>
      <c r="G44" s="223">
        <f t="shared" si="24"/>
        <v>28649.1127356</v>
      </c>
      <c r="H44" s="228">
        <f>I44+J44+K44</f>
        <v>534099.79</v>
      </c>
      <c r="I44" s="201">
        <f t="shared" ref="I44:K44" si="25">I45+I46</f>
        <v>478745.69</v>
      </c>
      <c r="J44" s="201">
        <f t="shared" si="25"/>
        <v>26704.99</v>
      </c>
      <c r="K44" s="229">
        <f t="shared" si="25"/>
        <v>28649.11</v>
      </c>
      <c r="L44" s="225"/>
    </row>
    <row r="45" spans="1:14" s="254" customFormat="1" ht="15.75" outlineLevel="1" x14ac:dyDescent="0.25">
      <c r="A45" s="255"/>
      <c r="B45" s="588" t="s">
        <v>68</v>
      </c>
      <c r="C45" s="252">
        <v>534099.79</v>
      </c>
      <c r="D45" s="259">
        <f>E45+F45+G45</f>
        <v>534099.79</v>
      </c>
      <c r="E45" s="250">
        <f>C45*0.89636</f>
        <v>478745.68776440003</v>
      </c>
      <c r="F45" s="250">
        <f>C45*0.05</f>
        <v>26704.989500000003</v>
      </c>
      <c r="G45" s="253">
        <f>C45-E45-F45</f>
        <v>28649.1127356</v>
      </c>
      <c r="H45" s="249">
        <f>I45+J45+K45</f>
        <v>534099.79</v>
      </c>
      <c r="I45" s="250">
        <v>478745.69</v>
      </c>
      <c r="J45" s="250">
        <v>26704.99</v>
      </c>
      <c r="K45" s="251">
        <v>28649.11</v>
      </c>
      <c r="L45" s="259" t="s">
        <v>750</v>
      </c>
      <c r="M45" s="292"/>
      <c r="N45" s="292"/>
    </row>
    <row r="46" spans="1:14" s="166" customFormat="1" ht="15.75" outlineLevel="1" x14ac:dyDescent="0.25">
      <c r="A46" s="196"/>
      <c r="B46" s="204" t="s">
        <v>557</v>
      </c>
      <c r="C46" s="87"/>
      <c r="D46" s="226"/>
      <c r="E46" s="202"/>
      <c r="F46" s="202"/>
      <c r="G46" s="224"/>
      <c r="H46" s="264"/>
      <c r="I46" s="202"/>
      <c r="J46" s="202"/>
      <c r="K46" s="265"/>
      <c r="L46" s="226"/>
      <c r="M46" s="108"/>
      <c r="N46" s="108"/>
    </row>
    <row r="47" spans="1:14" s="108" customFormat="1" ht="27.75" customHeight="1" x14ac:dyDescent="0.25">
      <c r="A47" s="198">
        <v>12</v>
      </c>
      <c r="B47" s="203" t="s">
        <v>322</v>
      </c>
      <c r="C47" s="84">
        <f t="shared" ref="C47" si="26">C48+C49</f>
        <v>534099.79</v>
      </c>
      <c r="D47" s="225">
        <f>E47+F47+G47</f>
        <v>534099.79</v>
      </c>
      <c r="E47" s="201">
        <f t="shared" ref="E47:G47" si="27">E48+E49</f>
        <v>478745.68776440003</v>
      </c>
      <c r="F47" s="201">
        <f t="shared" si="27"/>
        <v>26704.989500000003</v>
      </c>
      <c r="G47" s="223">
        <f t="shared" si="27"/>
        <v>28649.1127356</v>
      </c>
      <c r="H47" s="228">
        <f>I47+J47+K47</f>
        <v>534099.79</v>
      </c>
      <c r="I47" s="201">
        <f t="shared" ref="I47:K47" si="28">I48+I49</f>
        <v>478745.69</v>
      </c>
      <c r="J47" s="201">
        <f t="shared" si="28"/>
        <v>26704.99</v>
      </c>
      <c r="K47" s="229">
        <f t="shared" si="28"/>
        <v>28649.11</v>
      </c>
      <c r="L47" s="225"/>
    </row>
    <row r="48" spans="1:14" s="254" customFormat="1" ht="15.75" outlineLevel="1" x14ac:dyDescent="0.25">
      <c r="A48" s="255"/>
      <c r="B48" s="588" t="s">
        <v>68</v>
      </c>
      <c r="C48" s="252">
        <v>534099.79</v>
      </c>
      <c r="D48" s="259">
        <f>E48+F48+G48</f>
        <v>534099.79</v>
      </c>
      <c r="E48" s="250">
        <f>C48*0.89636</f>
        <v>478745.68776440003</v>
      </c>
      <c r="F48" s="250">
        <f>C48*0.05</f>
        <v>26704.989500000003</v>
      </c>
      <c r="G48" s="253">
        <f>C48-E48-F48</f>
        <v>28649.1127356</v>
      </c>
      <c r="H48" s="249">
        <f>I48+J48+K48</f>
        <v>534099.79</v>
      </c>
      <c r="I48" s="250">
        <v>478745.69</v>
      </c>
      <c r="J48" s="250">
        <v>26704.99</v>
      </c>
      <c r="K48" s="251">
        <v>28649.11</v>
      </c>
      <c r="L48" s="259" t="s">
        <v>750</v>
      </c>
      <c r="M48" s="292"/>
      <c r="N48" s="292"/>
    </row>
    <row r="49" spans="1:14" s="166" customFormat="1" ht="15.75" outlineLevel="1" x14ac:dyDescent="0.25">
      <c r="A49" s="196"/>
      <c r="B49" s="204" t="s">
        <v>557</v>
      </c>
      <c r="C49" s="87"/>
      <c r="D49" s="226"/>
      <c r="E49" s="202"/>
      <c r="F49" s="202"/>
      <c r="G49" s="224"/>
      <c r="H49" s="264"/>
      <c r="I49" s="202"/>
      <c r="J49" s="202"/>
      <c r="K49" s="265"/>
      <c r="L49" s="226"/>
      <c r="M49" s="108"/>
      <c r="N49" s="108"/>
    </row>
    <row r="50" spans="1:14" s="292" customFormat="1" ht="39" customHeight="1" x14ac:dyDescent="0.25">
      <c r="A50" s="589">
        <v>13</v>
      </c>
      <c r="B50" s="590" t="s">
        <v>323</v>
      </c>
      <c r="C50" s="290">
        <f>SUM(C51:C51)</f>
        <v>534099.79</v>
      </c>
      <c r="D50" s="564">
        <f>E50+F50+G50</f>
        <v>534099.79</v>
      </c>
      <c r="E50" s="289">
        <f>SUM(E51:E51)</f>
        <v>478745.68776440003</v>
      </c>
      <c r="F50" s="289">
        <f>SUM(F51:F51)</f>
        <v>26704.989500000003</v>
      </c>
      <c r="G50" s="291">
        <f>SUM(G51:G51)</f>
        <v>28649.1127356</v>
      </c>
      <c r="H50" s="288">
        <f>I50+J50+K50</f>
        <v>534099.79</v>
      </c>
      <c r="I50" s="289">
        <f>SUM(I51:I51)</f>
        <v>478745.69</v>
      </c>
      <c r="J50" s="289">
        <f>SUM(J51:J51)</f>
        <v>26704.99</v>
      </c>
      <c r="K50" s="247">
        <f>SUM(K51:K51)</f>
        <v>28649.11</v>
      </c>
      <c r="L50" s="564"/>
    </row>
    <row r="51" spans="1:14" s="254" customFormat="1" ht="15.75" outlineLevel="1" x14ac:dyDescent="0.25">
      <c r="A51" s="255"/>
      <c r="B51" s="588" t="s">
        <v>68</v>
      </c>
      <c r="C51" s="252">
        <v>534099.79</v>
      </c>
      <c r="D51" s="259">
        <f>E51+F51+G51</f>
        <v>534099.79</v>
      </c>
      <c r="E51" s="250">
        <f>C51*0.89636</f>
        <v>478745.68776440003</v>
      </c>
      <c r="F51" s="250">
        <f>C51*0.05</f>
        <v>26704.989500000003</v>
      </c>
      <c r="G51" s="253">
        <f>C51-E51-F51</f>
        <v>28649.1127356</v>
      </c>
      <c r="H51" s="249">
        <f>I51+J51+K51</f>
        <v>534099.79</v>
      </c>
      <c r="I51" s="250">
        <v>478745.69</v>
      </c>
      <c r="J51" s="250">
        <v>26704.99</v>
      </c>
      <c r="K51" s="251">
        <v>28649.11</v>
      </c>
      <c r="L51" s="259" t="s">
        <v>750</v>
      </c>
      <c r="M51" s="292"/>
      <c r="N51" s="292"/>
    </row>
    <row r="52" spans="1:14" s="108" customFormat="1" ht="31.5" customHeight="1" x14ac:dyDescent="0.25">
      <c r="A52" s="198">
        <v>14</v>
      </c>
      <c r="B52" s="199" t="s">
        <v>330</v>
      </c>
      <c r="C52" s="84">
        <f>SUM(C53:C54)</f>
        <v>67625.350000000006</v>
      </c>
      <c r="D52" s="225">
        <f>E52+F52+G52</f>
        <v>67625.350000000006</v>
      </c>
      <c r="E52" s="201">
        <f>SUM(E53:E54)</f>
        <v>49745.207460000005</v>
      </c>
      <c r="F52" s="201">
        <f>SUM(F53:F54)</f>
        <v>3381.2675000000004</v>
      </c>
      <c r="G52" s="223">
        <f>SUM(G53:G54)</f>
        <v>14498.875040000001</v>
      </c>
      <c r="H52" s="228">
        <f>I52+J52+K52</f>
        <v>67625.349999999991</v>
      </c>
      <c r="I52" s="201">
        <f>SUM(I53:I54)</f>
        <v>49745.21</v>
      </c>
      <c r="J52" s="201">
        <f>SUM(J53:J54)</f>
        <v>3381.27</v>
      </c>
      <c r="K52" s="229">
        <f>SUM(K53:K54)</f>
        <v>14498.87</v>
      </c>
      <c r="L52" s="225"/>
    </row>
    <row r="53" spans="1:14" s="166" customFormat="1" ht="15.75" outlineLevel="1" x14ac:dyDescent="0.25">
      <c r="A53" s="196"/>
      <c r="B53" s="200" t="s">
        <v>555</v>
      </c>
      <c r="C53" s="87"/>
      <c r="D53" s="226"/>
      <c r="E53" s="202"/>
      <c r="F53" s="202"/>
      <c r="G53" s="224"/>
      <c r="H53" s="264"/>
      <c r="I53" s="202"/>
      <c r="J53" s="202"/>
      <c r="K53" s="265"/>
      <c r="L53" s="226"/>
      <c r="M53" s="108"/>
      <c r="N53" s="108"/>
    </row>
    <row r="54" spans="1:14" s="254" customFormat="1" ht="15.75" outlineLevel="1" x14ac:dyDescent="0.25">
      <c r="A54" s="255"/>
      <c r="B54" s="256" t="s">
        <v>67</v>
      </c>
      <c r="C54" s="252">
        <v>67625.350000000006</v>
      </c>
      <c r="D54" s="259">
        <f>E54+F54+G54</f>
        <v>67625.350000000006</v>
      </c>
      <c r="E54" s="250">
        <f>C54*0.7356</f>
        <v>49745.207460000005</v>
      </c>
      <c r="F54" s="250">
        <f>C54*0.05</f>
        <v>3381.2675000000004</v>
      </c>
      <c r="G54" s="253">
        <f>C54-E54-F54</f>
        <v>14498.875040000001</v>
      </c>
      <c r="H54" s="249">
        <f>I54+J54+K54</f>
        <v>67625.349999999991</v>
      </c>
      <c r="I54" s="250">
        <v>49745.21</v>
      </c>
      <c r="J54" s="250">
        <v>3381.27</v>
      </c>
      <c r="K54" s="251">
        <v>14498.87</v>
      </c>
      <c r="L54" s="259" t="s">
        <v>723</v>
      </c>
      <c r="M54" s="292"/>
      <c r="N54" s="292"/>
    </row>
    <row r="55" spans="1:14" s="108" customFormat="1" ht="33" customHeight="1" x14ac:dyDescent="0.25">
      <c r="A55" s="198">
        <v>15</v>
      </c>
      <c r="B55" s="199" t="s">
        <v>31</v>
      </c>
      <c r="C55" s="84">
        <f>SUM(C56:C57)</f>
        <v>72518.720000000001</v>
      </c>
      <c r="D55" s="225">
        <f>E55+F55+G55</f>
        <v>72518.720000000001</v>
      </c>
      <c r="E55" s="201">
        <f>SUM(E56:E57)</f>
        <v>53344.770432000005</v>
      </c>
      <c r="F55" s="201">
        <f>SUM(F56:F57)</f>
        <v>3625.9360000000001</v>
      </c>
      <c r="G55" s="223">
        <f>SUM(G56:G57)</f>
        <v>15548.013567999997</v>
      </c>
      <c r="H55" s="228">
        <f>I55+J55+K55</f>
        <v>72518.720000000001</v>
      </c>
      <c r="I55" s="201">
        <f>SUM(I56:I57)</f>
        <v>53344.77</v>
      </c>
      <c r="J55" s="201">
        <f>SUM(J56:J57)</f>
        <v>3625.94</v>
      </c>
      <c r="K55" s="229">
        <f>SUM(K56:K57)</f>
        <v>15548.01</v>
      </c>
      <c r="L55" s="225"/>
    </row>
    <row r="56" spans="1:14" s="166" customFormat="1" ht="15.75" outlineLevel="1" x14ac:dyDescent="0.25">
      <c r="A56" s="196"/>
      <c r="B56" s="200" t="s">
        <v>555</v>
      </c>
      <c r="C56" s="87"/>
      <c r="D56" s="226"/>
      <c r="E56" s="202"/>
      <c r="F56" s="202"/>
      <c r="G56" s="224"/>
      <c r="H56" s="264"/>
      <c r="I56" s="202"/>
      <c r="J56" s="202"/>
      <c r="K56" s="265"/>
      <c r="L56" s="226"/>
      <c r="M56" s="108"/>
      <c r="N56" s="108"/>
    </row>
    <row r="57" spans="1:14" s="254" customFormat="1" ht="15.75" outlineLevel="1" x14ac:dyDescent="0.25">
      <c r="A57" s="255"/>
      <c r="B57" s="256" t="s">
        <v>67</v>
      </c>
      <c r="C57" s="252">
        <v>72518.720000000001</v>
      </c>
      <c r="D57" s="259">
        <f>E57+F57+G57</f>
        <v>72518.720000000001</v>
      </c>
      <c r="E57" s="250">
        <f>C57*0.7356</f>
        <v>53344.770432000005</v>
      </c>
      <c r="F57" s="250">
        <f>C57*0.05</f>
        <v>3625.9360000000001</v>
      </c>
      <c r="G57" s="253">
        <f>C57-E57-F57</f>
        <v>15548.013567999997</v>
      </c>
      <c r="H57" s="249">
        <f>I57+J57+K57</f>
        <v>72518.720000000001</v>
      </c>
      <c r="I57" s="250">
        <v>53344.77</v>
      </c>
      <c r="J57" s="250">
        <v>3625.94</v>
      </c>
      <c r="K57" s="251">
        <v>15548.01</v>
      </c>
      <c r="L57" s="259" t="s">
        <v>723</v>
      </c>
      <c r="M57" s="292"/>
      <c r="N57" s="292"/>
    </row>
    <row r="58" spans="1:14" s="108" customFormat="1" ht="33" customHeight="1" x14ac:dyDescent="0.25">
      <c r="A58" s="198">
        <v>16</v>
      </c>
      <c r="B58" s="199" t="s">
        <v>331</v>
      </c>
      <c r="C58" s="84">
        <f>SUM(C59:C60)</f>
        <v>63662.78</v>
      </c>
      <c r="D58" s="225">
        <f>E58+F58+G58</f>
        <v>63662.78</v>
      </c>
      <c r="E58" s="201">
        <f>SUM(E59:E60)</f>
        <v>46830.340968000004</v>
      </c>
      <c r="F58" s="201">
        <f>SUM(F59:F60)</f>
        <v>3183.1390000000001</v>
      </c>
      <c r="G58" s="223">
        <f>SUM(G59:G60)</f>
        <v>13649.300031999996</v>
      </c>
      <c r="H58" s="228">
        <f>I58+J58+K58</f>
        <v>63662.78</v>
      </c>
      <c r="I58" s="201">
        <f>SUM(I59:I60)</f>
        <v>46830.34</v>
      </c>
      <c r="J58" s="201">
        <f>SUM(J59:J60)</f>
        <v>3183.14</v>
      </c>
      <c r="K58" s="229">
        <f>SUM(K59:K60)</f>
        <v>13649.3</v>
      </c>
      <c r="L58" s="225"/>
    </row>
    <row r="59" spans="1:14" s="166" customFormat="1" ht="15.75" outlineLevel="1" x14ac:dyDescent="0.25">
      <c r="A59" s="196"/>
      <c r="B59" s="200" t="s">
        <v>555</v>
      </c>
      <c r="C59" s="87"/>
      <c r="D59" s="226"/>
      <c r="E59" s="202"/>
      <c r="F59" s="202"/>
      <c r="G59" s="224"/>
      <c r="H59" s="264"/>
      <c r="I59" s="202"/>
      <c r="J59" s="202"/>
      <c r="K59" s="265"/>
      <c r="L59" s="226"/>
      <c r="M59" s="108"/>
      <c r="N59" s="108"/>
    </row>
    <row r="60" spans="1:14" s="254" customFormat="1" ht="15.75" outlineLevel="1" x14ac:dyDescent="0.25">
      <c r="A60" s="255"/>
      <c r="B60" s="256" t="s">
        <v>67</v>
      </c>
      <c r="C60" s="252">
        <v>63662.78</v>
      </c>
      <c r="D60" s="259">
        <f>E60+F60+G60</f>
        <v>63662.78</v>
      </c>
      <c r="E60" s="250">
        <f>C60*0.7356</f>
        <v>46830.340968000004</v>
      </c>
      <c r="F60" s="250">
        <f>C60*0.05</f>
        <v>3183.1390000000001</v>
      </c>
      <c r="G60" s="253">
        <f>C60-E60-F60</f>
        <v>13649.300031999996</v>
      </c>
      <c r="H60" s="249">
        <f>I60++J60+K60</f>
        <v>63662.78</v>
      </c>
      <c r="I60" s="250">
        <v>46830.34</v>
      </c>
      <c r="J60" s="250">
        <v>3183.14</v>
      </c>
      <c r="K60" s="251">
        <v>13649.3</v>
      </c>
      <c r="L60" s="259" t="s">
        <v>723</v>
      </c>
      <c r="M60" s="292"/>
      <c r="N60" s="292"/>
    </row>
    <row r="61" spans="1:14" s="108" customFormat="1" ht="28.5" customHeight="1" x14ac:dyDescent="0.25">
      <c r="A61" s="198">
        <v>17</v>
      </c>
      <c r="B61" s="203" t="s">
        <v>592</v>
      </c>
      <c r="C61" s="84">
        <f>SUM(C62:C66)</f>
        <v>267611.34999999998</v>
      </c>
      <c r="D61" s="225">
        <f>E61+F61+G61</f>
        <v>267611.34999999998</v>
      </c>
      <c r="E61" s="201">
        <f>SUM(E62:E66)</f>
        <v>196854.90906000001</v>
      </c>
      <c r="F61" s="201">
        <f>SUM(F62:F66)</f>
        <v>13380.567499999999</v>
      </c>
      <c r="G61" s="223">
        <f>SUM(G62:G66)</f>
        <v>57375.873439999974</v>
      </c>
      <c r="H61" s="228">
        <f>I61+J61+K61</f>
        <v>267611.35000000003</v>
      </c>
      <c r="I61" s="201">
        <f>SUM(I62:I66)</f>
        <v>196854.91</v>
      </c>
      <c r="J61" s="201">
        <f>SUM(J62:J66)</f>
        <v>13380.57</v>
      </c>
      <c r="K61" s="229">
        <f>SUM(K62:K66)</f>
        <v>57375.87</v>
      </c>
      <c r="L61" s="225"/>
    </row>
    <row r="62" spans="1:14" s="166" customFormat="1" ht="15.75" outlineLevel="1" x14ac:dyDescent="0.25">
      <c r="A62" s="196"/>
      <c r="B62" s="204" t="s">
        <v>68</v>
      </c>
      <c r="C62" s="87"/>
      <c r="D62" s="226"/>
      <c r="E62" s="202"/>
      <c r="F62" s="202"/>
      <c r="G62" s="224"/>
      <c r="H62" s="264"/>
      <c r="I62" s="202"/>
      <c r="J62" s="202"/>
      <c r="K62" s="265"/>
      <c r="L62" s="226"/>
      <c r="M62" s="108"/>
      <c r="N62" s="108"/>
    </row>
    <row r="63" spans="1:14" s="166" customFormat="1" ht="15.75" outlineLevel="1" x14ac:dyDescent="0.25">
      <c r="A63" s="196"/>
      <c r="B63" s="204" t="s">
        <v>64</v>
      </c>
      <c r="C63" s="87"/>
      <c r="D63" s="226"/>
      <c r="E63" s="202"/>
      <c r="F63" s="202"/>
      <c r="G63" s="224"/>
      <c r="H63" s="264"/>
      <c r="I63" s="202"/>
      <c r="J63" s="202"/>
      <c r="K63" s="265"/>
      <c r="L63" s="226"/>
      <c r="M63" s="108"/>
      <c r="N63" s="108"/>
    </row>
    <row r="64" spans="1:14" s="166" customFormat="1" ht="15.75" outlineLevel="1" x14ac:dyDescent="0.25">
      <c r="A64" s="196"/>
      <c r="B64" s="204" t="s">
        <v>65</v>
      </c>
      <c r="C64" s="87"/>
      <c r="D64" s="226"/>
      <c r="E64" s="202"/>
      <c r="F64" s="202"/>
      <c r="G64" s="224"/>
      <c r="H64" s="264"/>
      <c r="I64" s="202"/>
      <c r="J64" s="202"/>
      <c r="K64" s="265"/>
      <c r="L64" s="226"/>
      <c r="M64" s="108"/>
      <c r="N64" s="108"/>
    </row>
    <row r="65" spans="1:14" s="166" customFormat="1" ht="15.75" outlineLevel="1" x14ac:dyDescent="0.25">
      <c r="A65" s="196"/>
      <c r="B65" s="204" t="s">
        <v>555</v>
      </c>
      <c r="C65" s="87"/>
      <c r="D65" s="226"/>
      <c r="E65" s="202"/>
      <c r="F65" s="202"/>
      <c r="G65" s="224"/>
      <c r="H65" s="264"/>
      <c r="I65" s="202"/>
      <c r="J65" s="202"/>
      <c r="K65" s="265"/>
      <c r="L65" s="226"/>
      <c r="M65" s="108"/>
      <c r="N65" s="108"/>
    </row>
    <row r="66" spans="1:14" s="254" customFormat="1" ht="15.75" outlineLevel="1" x14ac:dyDescent="0.25">
      <c r="A66" s="255"/>
      <c r="B66" s="256" t="s">
        <v>67</v>
      </c>
      <c r="C66" s="252">
        <v>267611.34999999998</v>
      </c>
      <c r="D66" s="259">
        <f>E66+F66+G66</f>
        <v>267611.34999999998</v>
      </c>
      <c r="E66" s="250">
        <f>C66*0.7356</f>
        <v>196854.90906000001</v>
      </c>
      <c r="F66" s="250">
        <f>C66*0.05</f>
        <v>13380.567499999999</v>
      </c>
      <c r="G66" s="253">
        <f>C66-E66-F66</f>
        <v>57375.873439999974</v>
      </c>
      <c r="H66" s="249">
        <f>I66+J66+K66</f>
        <v>267611.35000000003</v>
      </c>
      <c r="I66" s="250">
        <v>196854.91</v>
      </c>
      <c r="J66" s="250">
        <v>13380.57</v>
      </c>
      <c r="K66" s="251">
        <v>57375.87</v>
      </c>
      <c r="L66" s="259" t="s">
        <v>723</v>
      </c>
      <c r="M66" s="292"/>
      <c r="N66" s="292"/>
    </row>
    <row r="67" spans="1:14" s="108" customFormat="1" ht="31.5" customHeight="1" x14ac:dyDescent="0.25">
      <c r="A67" s="198">
        <v>18</v>
      </c>
      <c r="B67" s="203" t="s">
        <v>324</v>
      </c>
      <c r="C67" s="84">
        <f>SUM(C68:C72)</f>
        <v>156280.19</v>
      </c>
      <c r="D67" s="225">
        <f>E67+F67+G67</f>
        <v>156280.19</v>
      </c>
      <c r="E67" s="201">
        <f>SUM(E68:E72)</f>
        <v>140083.3111084</v>
      </c>
      <c r="F67" s="201">
        <f>SUM(F68:F72)</f>
        <v>7814.0095000000001</v>
      </c>
      <c r="G67" s="223">
        <f>SUM(G68:G72)</f>
        <v>8382.8693916000047</v>
      </c>
      <c r="H67" s="228">
        <f>I67+J67+K67</f>
        <v>156280.19</v>
      </c>
      <c r="I67" s="201">
        <f>SUM(I68:I72)</f>
        <v>140083.31</v>
      </c>
      <c r="J67" s="201">
        <f>SUM(J68:J72)</f>
        <v>7814.01</v>
      </c>
      <c r="K67" s="229">
        <f>SUM(K68:K72)</f>
        <v>8382.8700000000008</v>
      </c>
      <c r="L67" s="225"/>
    </row>
    <row r="68" spans="1:14" s="166" customFormat="1" ht="15.75" outlineLevel="1" x14ac:dyDescent="0.25">
      <c r="A68" s="196"/>
      <c r="B68" s="204" t="s">
        <v>68</v>
      </c>
      <c r="C68" s="87"/>
      <c r="D68" s="226"/>
      <c r="E68" s="202"/>
      <c r="F68" s="202"/>
      <c r="G68" s="224"/>
      <c r="H68" s="264"/>
      <c r="I68" s="202"/>
      <c r="J68" s="202"/>
      <c r="K68" s="265"/>
      <c r="L68" s="226"/>
      <c r="M68" s="108"/>
      <c r="N68" s="108"/>
    </row>
    <row r="69" spans="1:14" s="166" customFormat="1" ht="15.75" outlineLevel="1" x14ac:dyDescent="0.25">
      <c r="A69" s="196"/>
      <c r="B69" s="204" t="s">
        <v>64</v>
      </c>
      <c r="C69" s="87"/>
      <c r="D69" s="226"/>
      <c r="E69" s="202"/>
      <c r="F69" s="202"/>
      <c r="G69" s="224"/>
      <c r="H69" s="264"/>
      <c r="I69" s="202"/>
      <c r="J69" s="202"/>
      <c r="K69" s="265"/>
      <c r="L69" s="226"/>
      <c r="M69" s="108"/>
      <c r="N69" s="108"/>
    </row>
    <row r="70" spans="1:14" s="166" customFormat="1" ht="15.75" outlineLevel="1" x14ac:dyDescent="0.25">
      <c r="A70" s="196"/>
      <c r="B70" s="204" t="s">
        <v>65</v>
      </c>
      <c r="C70" s="87"/>
      <c r="D70" s="226"/>
      <c r="E70" s="202"/>
      <c r="F70" s="202"/>
      <c r="G70" s="224"/>
      <c r="H70" s="264"/>
      <c r="I70" s="202"/>
      <c r="J70" s="202"/>
      <c r="K70" s="265"/>
      <c r="L70" s="226"/>
      <c r="M70" s="108"/>
      <c r="N70" s="108"/>
    </row>
    <row r="71" spans="1:14" s="254" customFormat="1" ht="15.75" outlineLevel="1" x14ac:dyDescent="0.25">
      <c r="A71" s="255"/>
      <c r="B71" s="588" t="s">
        <v>66</v>
      </c>
      <c r="C71" s="252">
        <v>156280.19</v>
      </c>
      <c r="D71" s="259">
        <f>E71+F71+G71</f>
        <v>156280.19</v>
      </c>
      <c r="E71" s="250">
        <f>C71*0.89636</f>
        <v>140083.3111084</v>
      </c>
      <c r="F71" s="250">
        <f>C71*0.05</f>
        <v>7814.0095000000001</v>
      </c>
      <c r="G71" s="253">
        <f>C71-E71-F71</f>
        <v>8382.8693916000047</v>
      </c>
      <c r="H71" s="249">
        <f>I71+J71+K71</f>
        <v>156280.19</v>
      </c>
      <c r="I71" s="250">
        <v>140083.31</v>
      </c>
      <c r="J71" s="250">
        <v>7814.01</v>
      </c>
      <c r="K71" s="251">
        <v>8382.8700000000008</v>
      </c>
      <c r="L71" s="259" t="s">
        <v>750</v>
      </c>
      <c r="M71" s="292"/>
      <c r="N71" s="292"/>
    </row>
    <row r="72" spans="1:14" s="166" customFormat="1" ht="15.75" outlineLevel="1" x14ac:dyDescent="0.25">
      <c r="A72" s="196"/>
      <c r="B72" s="204" t="s">
        <v>557</v>
      </c>
      <c r="C72" s="87"/>
      <c r="D72" s="226"/>
      <c r="E72" s="202"/>
      <c r="F72" s="202"/>
      <c r="G72" s="224"/>
      <c r="H72" s="264"/>
      <c r="I72" s="202"/>
      <c r="J72" s="202"/>
      <c r="K72" s="265"/>
      <c r="L72" s="226"/>
      <c r="M72" s="108"/>
      <c r="N72" s="108"/>
    </row>
    <row r="73" spans="1:14" s="108" customFormat="1" ht="30" customHeight="1" x14ac:dyDescent="0.25">
      <c r="A73" s="198">
        <v>19</v>
      </c>
      <c r="B73" s="203" t="s">
        <v>594</v>
      </c>
      <c r="C73" s="84">
        <f>SUM(C74:C78)</f>
        <v>3342355.46</v>
      </c>
      <c r="D73" s="225">
        <f>E73+F73+G73</f>
        <v>3342355.4599999995</v>
      </c>
      <c r="E73" s="201">
        <f>SUM(E74:E78)</f>
        <v>2995920.3165709996</v>
      </c>
      <c r="F73" s="201">
        <f t="shared" ref="F73:G73" si="29">SUM(F74:F78)</f>
        <v>167117.77300000002</v>
      </c>
      <c r="G73" s="201">
        <f t="shared" si="29"/>
        <v>179317.37042899992</v>
      </c>
      <c r="H73" s="225">
        <f>I73+J73+K73</f>
        <v>3342355.46</v>
      </c>
      <c r="I73" s="201">
        <f>SUM(I74:I78)</f>
        <v>2995920.31</v>
      </c>
      <c r="J73" s="201">
        <f t="shared" ref="J73:K73" si="30">SUM(J74:J78)</f>
        <v>167117.78</v>
      </c>
      <c r="K73" s="201">
        <f t="shared" si="30"/>
        <v>179317.37</v>
      </c>
      <c r="L73" s="225"/>
    </row>
    <row r="74" spans="1:14" s="292" customFormat="1" ht="15.75" customHeight="1" x14ac:dyDescent="0.25">
      <c r="A74" s="589"/>
      <c r="B74" s="588" t="s">
        <v>68</v>
      </c>
      <c r="C74" s="252">
        <v>670158.97</v>
      </c>
      <c r="D74" s="259">
        <f t="shared" ref="D74:D77" si="31">E74+F74+G74</f>
        <v>670158.96999999986</v>
      </c>
      <c r="E74" s="250">
        <v>600696.99275949993</v>
      </c>
      <c r="F74" s="250">
        <v>33507.948499999999</v>
      </c>
      <c r="G74" s="253">
        <v>35954.028740499984</v>
      </c>
      <c r="H74" s="249">
        <f t="shared" ref="H74:H76" si="32">I74+J74+K74</f>
        <v>670158.97</v>
      </c>
      <c r="I74" s="250">
        <v>600696.99</v>
      </c>
      <c r="J74" s="250">
        <v>33507.949999999997</v>
      </c>
      <c r="K74" s="250">
        <v>35954.03</v>
      </c>
      <c r="L74" s="259" t="s">
        <v>750</v>
      </c>
      <c r="M74" s="608" t="s">
        <v>767</v>
      </c>
    </row>
    <row r="75" spans="1:14" s="254" customFormat="1" ht="15.75" outlineLevel="1" x14ac:dyDescent="0.25">
      <c r="A75" s="255"/>
      <c r="B75" s="588" t="s">
        <v>64</v>
      </c>
      <c r="C75" s="252">
        <v>2203148.96</v>
      </c>
      <c r="D75" s="259">
        <f t="shared" si="31"/>
        <v>2203148.96</v>
      </c>
      <c r="E75" s="250">
        <v>1974792.570296</v>
      </c>
      <c r="F75" s="250">
        <v>110157.448</v>
      </c>
      <c r="G75" s="253">
        <v>118198.94170399994</v>
      </c>
      <c r="H75" s="249">
        <f t="shared" si="32"/>
        <v>2203148.96</v>
      </c>
      <c r="I75" s="250">
        <v>1974792.57</v>
      </c>
      <c r="J75" s="250">
        <v>110157.45</v>
      </c>
      <c r="K75" s="251">
        <v>118198.94</v>
      </c>
      <c r="L75" s="259" t="s">
        <v>750</v>
      </c>
      <c r="M75" s="608" t="s">
        <v>767</v>
      </c>
      <c r="N75" s="292"/>
    </row>
    <row r="76" spans="1:14" s="254" customFormat="1" ht="15.75" outlineLevel="1" x14ac:dyDescent="0.25">
      <c r="A76" s="255"/>
      <c r="B76" s="588" t="s">
        <v>65</v>
      </c>
      <c r="C76" s="252">
        <v>309716.78999999998</v>
      </c>
      <c r="D76" s="259">
        <f t="shared" si="31"/>
        <v>309716.78999999992</v>
      </c>
      <c r="E76" s="250">
        <v>277614.64471649996</v>
      </c>
      <c r="F76" s="250">
        <v>15485.8395</v>
      </c>
      <c r="G76" s="253">
        <v>16616.305783499993</v>
      </c>
      <c r="H76" s="249">
        <f t="shared" si="32"/>
        <v>309716.79000000004</v>
      </c>
      <c r="I76" s="250">
        <v>277614.64</v>
      </c>
      <c r="J76" s="250">
        <v>15485.84</v>
      </c>
      <c r="K76" s="251">
        <v>16616.310000000001</v>
      </c>
      <c r="L76" s="259" t="s">
        <v>750</v>
      </c>
      <c r="M76" s="608" t="s">
        <v>767</v>
      </c>
      <c r="N76" s="292"/>
    </row>
    <row r="77" spans="1:14" s="254" customFormat="1" ht="15.75" outlineLevel="1" x14ac:dyDescent="0.25">
      <c r="A77" s="255"/>
      <c r="B77" s="588" t="s">
        <v>66</v>
      </c>
      <c r="C77" s="252">
        <v>159330.74</v>
      </c>
      <c r="D77" s="259">
        <f t="shared" si="31"/>
        <v>159330.74</v>
      </c>
      <c r="E77" s="250">
        <v>142816.10879899998</v>
      </c>
      <c r="F77" s="250">
        <v>7966.5370000000003</v>
      </c>
      <c r="G77" s="253">
        <v>8548.0942009999962</v>
      </c>
      <c r="H77" s="249">
        <f>I77+J77+K77</f>
        <v>159330.74</v>
      </c>
      <c r="I77" s="250">
        <v>142816.10999999999</v>
      </c>
      <c r="J77" s="250">
        <v>7966.54</v>
      </c>
      <c r="K77" s="251">
        <v>8548.09</v>
      </c>
      <c r="L77" s="259" t="s">
        <v>750</v>
      </c>
      <c r="M77" s="608" t="s">
        <v>767</v>
      </c>
      <c r="N77" s="292"/>
    </row>
    <row r="78" spans="1:14" s="166" customFormat="1" ht="15.75" outlineLevel="1" x14ac:dyDescent="0.25">
      <c r="A78" s="196"/>
      <c r="B78" s="204" t="s">
        <v>557</v>
      </c>
      <c r="C78" s="87"/>
      <c r="D78" s="226"/>
      <c r="E78" s="202"/>
      <c r="F78" s="202"/>
      <c r="G78" s="224"/>
      <c r="H78" s="264"/>
      <c r="I78" s="202"/>
      <c r="J78" s="202"/>
      <c r="K78" s="265"/>
      <c r="L78" s="226"/>
      <c r="M78" s="108"/>
      <c r="N78" s="108"/>
    </row>
    <row r="79" spans="1:14" s="108" customFormat="1" ht="33.75" customHeight="1" x14ac:dyDescent="0.25">
      <c r="A79" s="198">
        <v>20</v>
      </c>
      <c r="B79" s="199" t="s">
        <v>593</v>
      </c>
      <c r="C79" s="84">
        <f>SUM(C80:C81)</f>
        <v>71442.97</v>
      </c>
      <c r="D79" s="225">
        <f>E79+F79+G79</f>
        <v>71442.97</v>
      </c>
      <c r="E79" s="201">
        <f>SUM(E80:E81)</f>
        <v>52553.448732000004</v>
      </c>
      <c r="F79" s="201">
        <f>SUM(F80:F81)</f>
        <v>3572.1485000000002</v>
      </c>
      <c r="G79" s="223">
        <f>SUM(G80:G81)</f>
        <v>15317.372767999997</v>
      </c>
      <c r="H79" s="228">
        <f>I79+J79+K79</f>
        <v>71442.97</v>
      </c>
      <c r="I79" s="201">
        <f>SUM(I80:I81)</f>
        <v>52553.45</v>
      </c>
      <c r="J79" s="201">
        <f>SUM(J80:J81)</f>
        <v>3572.15</v>
      </c>
      <c r="K79" s="229">
        <f>SUM(K80:K81)</f>
        <v>15317.37</v>
      </c>
      <c r="L79" s="225"/>
    </row>
    <row r="80" spans="1:14" s="166" customFormat="1" ht="15.75" outlineLevel="1" x14ac:dyDescent="0.25">
      <c r="A80" s="196"/>
      <c r="B80" s="200" t="s">
        <v>555</v>
      </c>
      <c r="C80" s="87"/>
      <c r="D80" s="226"/>
      <c r="E80" s="202"/>
      <c r="F80" s="202"/>
      <c r="G80" s="224"/>
      <c r="H80" s="264"/>
      <c r="I80" s="202"/>
      <c r="J80" s="202"/>
      <c r="K80" s="265"/>
      <c r="L80" s="226"/>
      <c r="M80" s="108"/>
      <c r="N80" s="108"/>
    </row>
    <row r="81" spans="1:14" s="254" customFormat="1" ht="15.75" outlineLevel="1" x14ac:dyDescent="0.25">
      <c r="A81" s="255"/>
      <c r="B81" s="256" t="s">
        <v>67</v>
      </c>
      <c r="C81" s="252">
        <v>71442.97</v>
      </c>
      <c r="D81" s="259">
        <f>E81+F81+G81</f>
        <v>71442.97</v>
      </c>
      <c r="E81" s="250">
        <f>C81*0.7356</f>
        <v>52553.448732000004</v>
      </c>
      <c r="F81" s="250">
        <f>C81*0.05</f>
        <v>3572.1485000000002</v>
      </c>
      <c r="G81" s="253">
        <f>C81-E81-F81</f>
        <v>15317.372767999997</v>
      </c>
      <c r="H81" s="249">
        <f>I81+J81+K81</f>
        <v>71442.97</v>
      </c>
      <c r="I81" s="250">
        <v>52553.45</v>
      </c>
      <c r="J81" s="250">
        <v>3572.15</v>
      </c>
      <c r="K81" s="251">
        <v>15317.37</v>
      </c>
      <c r="L81" s="259" t="s">
        <v>723</v>
      </c>
      <c r="M81" s="292"/>
      <c r="N81" s="292"/>
    </row>
    <row r="82" spans="1:14" s="108" customFormat="1" ht="42.75" customHeight="1" thickBot="1" x14ac:dyDescent="0.3">
      <c r="A82" s="367">
        <v>21</v>
      </c>
      <c r="B82" s="368" t="s">
        <v>556</v>
      </c>
      <c r="C82" s="178"/>
      <c r="D82" s="230"/>
      <c r="E82" s="231"/>
      <c r="F82" s="231"/>
      <c r="G82" s="232"/>
      <c r="H82" s="230"/>
      <c r="I82" s="231"/>
      <c r="J82" s="231"/>
      <c r="K82" s="232"/>
      <c r="L82" s="230"/>
    </row>
    <row r="85" spans="1:14" ht="15.75" thickBot="1" x14ac:dyDescent="0.3"/>
    <row r="86" spans="1:14" x14ac:dyDescent="0.25">
      <c r="B86" s="276" t="s">
        <v>68</v>
      </c>
      <c r="C86" s="279">
        <f>C21+C45+C48+C51+C62+C68+C74</f>
        <v>2272458.34</v>
      </c>
      <c r="D86" s="279">
        <f t="shared" ref="D86:K86" si="33">D21+D45+D48+D51+D62+D68+D74</f>
        <v>2272458.34</v>
      </c>
      <c r="E86" s="279">
        <f t="shared" si="33"/>
        <v>2036934.0560526999</v>
      </c>
      <c r="F86" s="279">
        <f t="shared" si="33"/>
        <v>113622.91700000002</v>
      </c>
      <c r="G86" s="279">
        <f t="shared" si="33"/>
        <v>121901.36694729998</v>
      </c>
      <c r="H86" s="279">
        <f t="shared" si="33"/>
        <v>2272458.34</v>
      </c>
      <c r="I86" s="279">
        <f t="shared" si="33"/>
        <v>2036934.06</v>
      </c>
      <c r="J86" s="279">
        <f t="shared" si="33"/>
        <v>113622.92</v>
      </c>
      <c r="K86" s="279">
        <f t="shared" si="33"/>
        <v>121901.36</v>
      </c>
      <c r="L86" s="605">
        <v>4</v>
      </c>
    </row>
    <row r="87" spans="1:14" x14ac:dyDescent="0.25">
      <c r="B87" s="278" t="s">
        <v>64</v>
      </c>
      <c r="C87" s="294">
        <f t="shared" ref="C87:K87" si="34">C14+C37+C63+C69+C75</f>
        <v>15722919.449999999</v>
      </c>
      <c r="D87" s="294">
        <f t="shared" si="34"/>
        <v>15722919.449999999</v>
      </c>
      <c r="E87" s="294">
        <f t="shared" si="34"/>
        <v>14162047.744547958</v>
      </c>
      <c r="F87" s="294">
        <f t="shared" si="34"/>
        <v>786145.97483210359</v>
      </c>
      <c r="G87" s="294">
        <f t="shared" si="34"/>
        <v>774725.73061993974</v>
      </c>
      <c r="H87" s="294">
        <f t="shared" si="34"/>
        <v>15722919.449999999</v>
      </c>
      <c r="I87" s="294">
        <f t="shared" si="34"/>
        <v>14162047.74</v>
      </c>
      <c r="J87" s="294">
        <f t="shared" si="34"/>
        <v>786145.98</v>
      </c>
      <c r="K87" s="543">
        <f t="shared" si="34"/>
        <v>774725.73</v>
      </c>
      <c r="L87" s="605">
        <v>2</v>
      </c>
    </row>
    <row r="88" spans="1:14" x14ac:dyDescent="0.25">
      <c r="B88" s="278" t="s">
        <v>65</v>
      </c>
      <c r="C88" s="31">
        <f t="shared" ref="C88:K88" si="35">C15+C38+C64+C70+C76</f>
        <v>2328147.56</v>
      </c>
      <c r="D88" s="31">
        <f t="shared" si="35"/>
        <v>2328147.5599999996</v>
      </c>
      <c r="E88" s="31">
        <f t="shared" si="35"/>
        <v>2097107.872337989</v>
      </c>
      <c r="F88" s="31">
        <f t="shared" si="35"/>
        <v>116407.37834817082</v>
      </c>
      <c r="G88" s="31">
        <f t="shared" si="35"/>
        <v>114632.3093138401</v>
      </c>
      <c r="H88" s="31">
        <f t="shared" si="35"/>
        <v>2328147.56</v>
      </c>
      <c r="I88" s="31">
        <f t="shared" si="35"/>
        <v>2097107.87</v>
      </c>
      <c r="J88" s="31">
        <f t="shared" si="35"/>
        <v>116407.37999999999</v>
      </c>
      <c r="K88" s="555">
        <f t="shared" si="35"/>
        <v>114632.31</v>
      </c>
      <c r="L88" s="605">
        <v>2</v>
      </c>
    </row>
    <row r="89" spans="1:14" x14ac:dyDescent="0.25">
      <c r="B89" s="278" t="s">
        <v>66</v>
      </c>
      <c r="C89" s="31">
        <f>C16+C39+C68+C71+C77</f>
        <v>2169138.29</v>
      </c>
      <c r="D89" s="31">
        <f t="shared" ref="D89:K89" si="36">D16+D39+D68+D71+D77</f>
        <v>2169138.29</v>
      </c>
      <c r="E89" s="31">
        <f t="shared" si="36"/>
        <v>1953742.1997819545</v>
      </c>
      <c r="F89" s="31">
        <f t="shared" si="36"/>
        <v>108456.91481972569</v>
      </c>
      <c r="G89" s="31">
        <f t="shared" si="36"/>
        <v>106939.17539831974</v>
      </c>
      <c r="H89" s="31">
        <f t="shared" si="36"/>
        <v>2169138.29</v>
      </c>
      <c r="I89" s="31">
        <f t="shared" si="36"/>
        <v>1953742.2000000002</v>
      </c>
      <c r="J89" s="31">
        <f t="shared" si="36"/>
        <v>108456.91999999998</v>
      </c>
      <c r="K89" s="31">
        <f t="shared" si="36"/>
        <v>106939.17</v>
      </c>
      <c r="L89" s="605">
        <v>3</v>
      </c>
    </row>
    <row r="90" spans="1:14" x14ac:dyDescent="0.25">
      <c r="B90" s="278" t="s">
        <v>555</v>
      </c>
      <c r="C90" s="12">
        <f t="shared" ref="C90:K90" si="37">C8+C11+C17+C22+C25+C28+C31+C34+C42+C53+C56+C59+C65+C80</f>
        <v>15472569.969999999</v>
      </c>
      <c r="D90" s="12">
        <f t="shared" si="37"/>
        <v>15472569.969999999</v>
      </c>
      <c r="E90" s="12">
        <f t="shared" si="37"/>
        <v>13188045.013929501</v>
      </c>
      <c r="F90" s="12">
        <f t="shared" si="37"/>
        <v>773628.49849999999</v>
      </c>
      <c r="G90" s="12">
        <f t="shared" si="37"/>
        <v>1510896.4575704986</v>
      </c>
      <c r="H90" s="12">
        <f t="shared" si="37"/>
        <v>15472569.970000001</v>
      </c>
      <c r="I90" s="12">
        <f t="shared" si="37"/>
        <v>13226617.289999999</v>
      </c>
      <c r="J90" s="12">
        <f t="shared" si="37"/>
        <v>773628.5</v>
      </c>
      <c r="K90" s="16">
        <f t="shared" si="37"/>
        <v>1472324.1800000002</v>
      </c>
      <c r="L90" s="605">
        <v>2</v>
      </c>
    </row>
    <row r="91" spans="1:14" x14ac:dyDescent="0.25">
      <c r="B91" s="278" t="s">
        <v>557</v>
      </c>
      <c r="C91" s="12">
        <f>C46+C49+C72+C78</f>
        <v>0</v>
      </c>
      <c r="D91" s="12">
        <f t="shared" ref="D91:K91" si="38">D46+D49+D72+D78</f>
        <v>0</v>
      </c>
      <c r="E91" s="12">
        <f t="shared" si="38"/>
        <v>0</v>
      </c>
      <c r="F91" s="12">
        <f t="shared" si="38"/>
        <v>0</v>
      </c>
      <c r="G91" s="12">
        <f t="shared" si="38"/>
        <v>0</v>
      </c>
      <c r="H91" s="12">
        <f t="shared" si="38"/>
        <v>0</v>
      </c>
      <c r="I91" s="12">
        <f t="shared" si="38"/>
        <v>0</v>
      </c>
      <c r="J91" s="12">
        <f t="shared" si="38"/>
        <v>0</v>
      </c>
      <c r="K91" s="12">
        <f t="shared" si="38"/>
        <v>0</v>
      </c>
      <c r="L91" s="605"/>
    </row>
    <row r="92" spans="1:14" x14ac:dyDescent="0.25">
      <c r="B92" s="281" t="s">
        <v>67</v>
      </c>
      <c r="C92" s="12">
        <f>C9+C12+C18+C23+C26+C29+C32+C35+C40+C43+C54+C57+C60+C66+C81+C82+C19</f>
        <v>2011788.4400000002</v>
      </c>
      <c r="D92" s="12">
        <f t="shared" ref="D92:K92" si="39">D9+D12+D18+D23+D26+D29+D32+D35+D40+D43+D54+D57+D60+D66+D81+D82+D19</f>
        <v>2011788.4400000002</v>
      </c>
      <c r="E92" s="12">
        <f t="shared" si="39"/>
        <v>1416242.0689440002</v>
      </c>
      <c r="F92" s="12">
        <f t="shared" si="39"/>
        <v>100589.42200000001</v>
      </c>
      <c r="G92" s="12">
        <f t="shared" si="39"/>
        <v>494956.94905600004</v>
      </c>
      <c r="H92" s="12">
        <f t="shared" si="39"/>
        <v>2011788.4400000002</v>
      </c>
      <c r="I92" s="12">
        <f t="shared" si="39"/>
        <v>1416242.0799999998</v>
      </c>
      <c r="J92" s="12">
        <f t="shared" si="39"/>
        <v>100589.41999999998</v>
      </c>
      <c r="K92" s="12">
        <f t="shared" si="39"/>
        <v>494956.94</v>
      </c>
      <c r="L92" s="605">
        <v>16</v>
      </c>
    </row>
    <row r="93" spans="1:14" ht="15.75" thickBot="1" x14ac:dyDescent="0.3">
      <c r="B93" s="282" t="s">
        <v>625</v>
      </c>
      <c r="C93" s="18">
        <f t="shared" ref="C93:K93" si="40">SUM(C86:C92)</f>
        <v>39977022.049999997</v>
      </c>
      <c r="D93" s="18">
        <f t="shared" si="40"/>
        <v>39977022.049999997</v>
      </c>
      <c r="E93" s="18">
        <f t="shared" si="40"/>
        <v>34854118.9555941</v>
      </c>
      <c r="F93" s="18">
        <f t="shared" si="40"/>
        <v>1998851.1055000001</v>
      </c>
      <c r="G93" s="18">
        <f t="shared" si="40"/>
        <v>3124051.9889058983</v>
      </c>
      <c r="H93" s="18">
        <f t="shared" si="40"/>
        <v>39977022.049999997</v>
      </c>
      <c r="I93" s="18">
        <f t="shared" si="40"/>
        <v>34892691.240000002</v>
      </c>
      <c r="J93" s="18">
        <f t="shared" si="40"/>
        <v>1998851.1199999999</v>
      </c>
      <c r="K93" s="19">
        <f t="shared" si="40"/>
        <v>3085479.69</v>
      </c>
    </row>
    <row r="94" spans="1:14" x14ac:dyDescent="0.25">
      <c r="B94" s="71"/>
      <c r="C94" s="96">
        <f t="shared" ref="C94:K94" si="41">C6</f>
        <v>39977022.049999997</v>
      </c>
      <c r="D94" s="96">
        <f t="shared" si="41"/>
        <v>39977022.049999997</v>
      </c>
      <c r="E94" s="96">
        <f t="shared" si="41"/>
        <v>34854118.9555941</v>
      </c>
      <c r="F94" s="96">
        <f t="shared" si="41"/>
        <v>1998851.1054999994</v>
      </c>
      <c r="G94" s="96">
        <f t="shared" si="41"/>
        <v>3124051.9889058983</v>
      </c>
      <c r="H94" s="96">
        <f t="shared" si="41"/>
        <v>39977022.050000004</v>
      </c>
      <c r="I94" s="96">
        <f t="shared" si="41"/>
        <v>34892691.24000001</v>
      </c>
      <c r="J94" s="96">
        <f t="shared" si="41"/>
        <v>1998851.1199999999</v>
      </c>
      <c r="K94" s="96">
        <f t="shared" si="41"/>
        <v>3085479.69</v>
      </c>
    </row>
    <row r="95" spans="1:14" x14ac:dyDescent="0.25">
      <c r="B95" s="96" t="s">
        <v>627</v>
      </c>
      <c r="C95" s="96">
        <f t="shared" ref="C95:K95" si="42">C93-C94</f>
        <v>0</v>
      </c>
      <c r="D95" s="96">
        <f t="shared" si="42"/>
        <v>0</v>
      </c>
      <c r="E95" s="96">
        <f t="shared" si="42"/>
        <v>0</v>
      </c>
      <c r="F95" s="96">
        <f t="shared" si="42"/>
        <v>0</v>
      </c>
      <c r="G95" s="96">
        <f t="shared" si="42"/>
        <v>0</v>
      </c>
      <c r="H95" s="96">
        <f t="shared" si="42"/>
        <v>0</v>
      </c>
      <c r="I95" s="96">
        <f t="shared" si="42"/>
        <v>0</v>
      </c>
      <c r="J95" s="96">
        <f t="shared" si="42"/>
        <v>0</v>
      </c>
      <c r="K95" s="96">
        <f t="shared" si="42"/>
        <v>0</v>
      </c>
    </row>
  </sheetData>
  <autoFilter ref="A7:N82"/>
  <mergeCells count="9">
    <mergeCell ref="M4:M5"/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25" fitToWidth="0" orientation="landscape" r:id="rId1"/>
  <rowBreaks count="1" manualBreakCount="1">
    <brk id="4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5"/>
  </sheetPr>
  <dimension ref="A1:M138"/>
  <sheetViews>
    <sheetView view="pageBreakPreview" zoomScale="70" zoomScaleNormal="100" zoomScaleSheetLayoutView="70" workbookViewId="0">
      <selection sqref="A1:L3"/>
    </sheetView>
  </sheetViews>
  <sheetFormatPr defaultColWidth="9.140625" defaultRowHeight="15" outlineLevelRow="1" x14ac:dyDescent="0.25"/>
  <cols>
    <col min="1" max="1" width="4.85546875" style="25" customWidth="1"/>
    <col min="2" max="2" width="40.28515625" style="2" customWidth="1"/>
    <col min="3" max="11" width="16.7109375" style="2" customWidth="1"/>
    <col min="12" max="12" width="15" style="2" customWidth="1"/>
    <col min="13" max="13" width="14" style="2" customWidth="1"/>
    <col min="14" max="14" width="11.140625" style="2" customWidth="1"/>
    <col min="15" max="16384" width="9.140625" style="2"/>
  </cols>
  <sheetData>
    <row r="1" spans="1:13" ht="15.75" x14ac:dyDescent="0.25">
      <c r="A1" s="777" t="s">
        <v>890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645"/>
    </row>
    <row r="2" spans="1:13" ht="15.75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645"/>
    </row>
    <row r="3" spans="1:13" ht="16.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646"/>
    </row>
    <row r="4" spans="1:13" s="25" customFormat="1" ht="32.25" customHeight="1" x14ac:dyDescent="0.25">
      <c r="A4" s="744" t="s">
        <v>0</v>
      </c>
      <c r="B4" s="761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8"/>
      <c r="L4" s="751" t="s">
        <v>716</v>
      </c>
      <c r="M4" s="612"/>
    </row>
    <row r="5" spans="1:13" s="25" customFormat="1" ht="52.5" customHeight="1" x14ac:dyDescent="0.25">
      <c r="A5" s="745"/>
      <c r="B5" s="762"/>
      <c r="C5" s="801"/>
      <c r="D5" s="37" t="s">
        <v>2</v>
      </c>
      <c r="E5" s="540" t="s">
        <v>3</v>
      </c>
      <c r="F5" s="540" t="s">
        <v>717</v>
      </c>
      <c r="G5" s="541" t="s">
        <v>5</v>
      </c>
      <c r="H5" s="542" t="s">
        <v>2</v>
      </c>
      <c r="I5" s="540" t="s">
        <v>3</v>
      </c>
      <c r="J5" s="540" t="s">
        <v>717</v>
      </c>
      <c r="K5" s="537" t="s">
        <v>5</v>
      </c>
      <c r="L5" s="752"/>
      <c r="M5" s="612"/>
    </row>
    <row r="6" spans="1:13" s="25" customFormat="1" ht="36.75" customHeight="1" x14ac:dyDescent="0.25">
      <c r="A6" s="211"/>
      <c r="B6" s="212" t="s">
        <v>24</v>
      </c>
      <c r="C6" s="85">
        <f>C7+C10+C14+C17+C21+C24+C32+C41+C50+C59+C67+C71+C79+C83+C89+C93+C101+C105+C111+C117+C121+C124</f>
        <v>39048724.219999999</v>
      </c>
      <c r="D6" s="13">
        <f>E6+F6+G6</f>
        <v>39048724.219999999</v>
      </c>
      <c r="E6" s="22">
        <f t="shared" ref="E6:K6" si="0">E7+E10+E14+E17+E21+E24+E32+E41+E50+E59+E67+E71+E79+E83+E89+E93+E101+E105+E111+E117+E121+E124</f>
        <v>32262016.588415995</v>
      </c>
      <c r="F6" s="22">
        <f t="shared" si="0"/>
        <v>413567.22600000008</v>
      </c>
      <c r="G6" s="33">
        <f t="shared" si="0"/>
        <v>6373140.4055840001</v>
      </c>
      <c r="H6" s="13">
        <f t="shared" si="0"/>
        <v>32956503.400000002</v>
      </c>
      <c r="I6" s="24">
        <f t="shared" si="0"/>
        <v>27691763.050000001</v>
      </c>
      <c r="J6" s="24">
        <f t="shared" si="0"/>
        <v>694478.94</v>
      </c>
      <c r="K6" s="154">
        <f t="shared" si="0"/>
        <v>4570261.4099999992</v>
      </c>
      <c r="L6" s="539"/>
      <c r="M6" s="613"/>
    </row>
    <row r="7" spans="1:13" s="395" customFormat="1" ht="36.75" customHeight="1" x14ac:dyDescent="0.2">
      <c r="A7" s="391">
        <v>1</v>
      </c>
      <c r="B7" s="392" t="s">
        <v>332</v>
      </c>
      <c r="C7" s="674">
        <f>SUM(C8:C9)</f>
        <v>2735293.39</v>
      </c>
      <c r="D7" s="585">
        <f>E7+F7+G7</f>
        <v>2735293.3899999997</v>
      </c>
      <c r="E7" s="401">
        <f>SUM(E8:E9)</f>
        <v>2128742.0819696002</v>
      </c>
      <c r="F7" s="401">
        <f>SUM(F8:F9)</f>
        <v>27352.930500000002</v>
      </c>
      <c r="G7" s="402">
        <f>SUM(G8:G9)</f>
        <v>579198.37753039994</v>
      </c>
      <c r="H7" s="585">
        <f>I7+J7+K7</f>
        <v>2735293.39</v>
      </c>
      <c r="I7" s="401">
        <f>SUM(I8:I9)</f>
        <v>2128742.08</v>
      </c>
      <c r="J7" s="401">
        <f>SUM(J8:J9)</f>
        <v>136764.67000000001</v>
      </c>
      <c r="K7" s="621">
        <f>SUM(K8:K9)</f>
        <v>469786.64</v>
      </c>
      <c r="L7" s="400"/>
      <c r="M7" s="614"/>
    </row>
    <row r="8" spans="1:13" s="91" customFormat="1" outlineLevel="1" x14ac:dyDescent="0.25">
      <c r="A8" s="260"/>
      <c r="B8" s="261" t="s">
        <v>555</v>
      </c>
      <c r="C8" s="363">
        <v>2660095.58</v>
      </c>
      <c r="D8" s="300">
        <f>E8+F8+G8</f>
        <v>2660095.58</v>
      </c>
      <c r="E8" s="301">
        <v>2063157.56</v>
      </c>
      <c r="F8" s="301">
        <v>23593.040000000001</v>
      </c>
      <c r="G8" s="248">
        <v>573344.98</v>
      </c>
      <c r="H8" s="300">
        <f>SUM(I8:K8)</f>
        <v>2660095.58</v>
      </c>
      <c r="I8" s="684">
        <v>2063157.56</v>
      </c>
      <c r="J8" s="684">
        <v>133004.78</v>
      </c>
      <c r="K8" s="685">
        <v>463933.24</v>
      </c>
      <c r="L8" s="271" t="s">
        <v>835</v>
      </c>
      <c r="M8" s="619">
        <v>42628</v>
      </c>
    </row>
    <row r="9" spans="1:13" s="91" customFormat="1" outlineLevel="1" x14ac:dyDescent="0.25">
      <c r="A9" s="260"/>
      <c r="B9" s="261" t="s">
        <v>67</v>
      </c>
      <c r="C9" s="363">
        <v>75197.81</v>
      </c>
      <c r="D9" s="300">
        <f>E9+F9+G9</f>
        <v>75197.81</v>
      </c>
      <c r="E9" s="301">
        <f>C9*0.87216</f>
        <v>65584.521969599999</v>
      </c>
      <c r="F9" s="301">
        <f>C9*0.05</f>
        <v>3759.8905</v>
      </c>
      <c r="G9" s="248">
        <f>C9-E9-F9</f>
        <v>5853.3975303999996</v>
      </c>
      <c r="H9" s="300">
        <f>I9+J9+K9</f>
        <v>75197.81</v>
      </c>
      <c r="I9" s="301">
        <v>65584.52</v>
      </c>
      <c r="J9" s="301">
        <v>3759.89</v>
      </c>
      <c r="K9" s="556">
        <v>5853.4</v>
      </c>
      <c r="L9" s="271" t="s">
        <v>745</v>
      </c>
      <c r="M9" s="615"/>
    </row>
    <row r="10" spans="1:13" s="9" customFormat="1" ht="30.75" customHeight="1" x14ac:dyDescent="0.2">
      <c r="A10" s="542">
        <v>2</v>
      </c>
      <c r="B10" s="60" t="s">
        <v>333</v>
      </c>
      <c r="C10" s="361">
        <f>SUM(C11:C13)</f>
        <v>100954.42</v>
      </c>
      <c r="D10" s="21">
        <f>E10+F10+G10</f>
        <v>100954.42</v>
      </c>
      <c r="E10" s="44">
        <f>SUM(E11:E13)</f>
        <v>88048.406947199997</v>
      </c>
      <c r="F10" s="44">
        <f>SUM(F11:F13)</f>
        <v>5047.7210000000005</v>
      </c>
      <c r="G10" s="297">
        <f>SUM(G11:G13)</f>
        <v>7858.2920528000004</v>
      </c>
      <c r="H10" s="21">
        <f>I10+J10+K10</f>
        <v>100954.42</v>
      </c>
      <c r="I10" s="44">
        <f>SUM(I11:I13)</f>
        <v>88048.41</v>
      </c>
      <c r="J10" s="44">
        <f>SUM(J11:J13)</f>
        <v>5047.72</v>
      </c>
      <c r="K10" s="510">
        <f>SUM(K11:K13)</f>
        <v>7858.29</v>
      </c>
      <c r="L10" s="35"/>
      <c r="M10" s="616"/>
    </row>
    <row r="11" spans="1:13" outlineLevel="1" x14ac:dyDescent="0.25">
      <c r="A11" s="10"/>
      <c r="B11" s="43" t="s">
        <v>555</v>
      </c>
      <c r="C11" s="362"/>
      <c r="D11" s="29"/>
      <c r="E11" s="12"/>
      <c r="F11" s="12"/>
      <c r="G11" s="16"/>
      <c r="H11" s="29"/>
      <c r="I11" s="12"/>
      <c r="J11" s="12"/>
      <c r="K11" s="65"/>
      <c r="L11" s="28"/>
      <c r="M11" s="601"/>
    </row>
    <row r="12" spans="1:13" outlineLevel="1" x14ac:dyDescent="0.25">
      <c r="A12" s="10"/>
      <c r="B12" s="43" t="s">
        <v>554</v>
      </c>
      <c r="C12" s="362"/>
      <c r="D12" s="29"/>
      <c r="E12" s="12"/>
      <c r="F12" s="12"/>
      <c r="G12" s="16"/>
      <c r="H12" s="29"/>
      <c r="I12" s="12"/>
      <c r="J12" s="12"/>
      <c r="K12" s="65"/>
      <c r="L12" s="28"/>
      <c r="M12" s="601"/>
    </row>
    <row r="13" spans="1:13" s="91" customFormat="1" outlineLevel="1" x14ac:dyDescent="0.25">
      <c r="A13" s="260"/>
      <c r="B13" s="261" t="s">
        <v>67</v>
      </c>
      <c r="C13" s="363">
        <v>100954.42</v>
      </c>
      <c r="D13" s="300">
        <f>E13+F13+G13</f>
        <v>100954.42</v>
      </c>
      <c r="E13" s="301">
        <f>C13*0.87216</f>
        <v>88048.406947199997</v>
      </c>
      <c r="F13" s="301">
        <f>C13*0.05</f>
        <v>5047.7210000000005</v>
      </c>
      <c r="G13" s="248">
        <f>C13-E13-F13</f>
        <v>7858.2920528000004</v>
      </c>
      <c r="H13" s="300">
        <f>I13+J13+K13</f>
        <v>100954.42</v>
      </c>
      <c r="I13" s="301">
        <v>88048.41</v>
      </c>
      <c r="J13" s="301">
        <v>5047.72</v>
      </c>
      <c r="K13" s="556">
        <v>7858.29</v>
      </c>
      <c r="L13" s="271" t="s">
        <v>745</v>
      </c>
      <c r="M13" s="615"/>
    </row>
    <row r="14" spans="1:13" s="395" customFormat="1" ht="27.75" customHeight="1" x14ac:dyDescent="0.2">
      <c r="A14" s="391">
        <v>3</v>
      </c>
      <c r="B14" s="392" t="s">
        <v>334</v>
      </c>
      <c r="C14" s="674">
        <f>SUM(C15:C16)</f>
        <v>3173292.2</v>
      </c>
      <c r="D14" s="585">
        <f>E14+F14+G14</f>
        <v>3173292.2</v>
      </c>
      <c r="E14" s="401">
        <f>SUM(E15:E16)</f>
        <v>2469614.6533568003</v>
      </c>
      <c r="F14" s="401">
        <f>SUM(F15:F16)</f>
        <v>31732.929</v>
      </c>
      <c r="G14" s="402">
        <f>SUM(G15:G16)</f>
        <v>671944.61764320009</v>
      </c>
      <c r="H14" s="585">
        <f>I14+J14+K14</f>
        <v>3173292.2</v>
      </c>
      <c r="I14" s="401">
        <f>SUM(I15:I16)</f>
        <v>2469614.6500000004</v>
      </c>
      <c r="J14" s="401">
        <f>SUM(J15:J16)</f>
        <v>158664.60999999999</v>
      </c>
      <c r="K14" s="621">
        <f>SUM(K15:K16)</f>
        <v>545012.93999999994</v>
      </c>
      <c r="L14" s="400"/>
      <c r="M14" s="614"/>
    </row>
    <row r="15" spans="1:13" s="91" customFormat="1" outlineLevel="1" x14ac:dyDescent="0.25">
      <c r="A15" s="260"/>
      <c r="B15" s="261" t="s">
        <v>555</v>
      </c>
      <c r="C15" s="363">
        <v>3115037.22</v>
      </c>
      <c r="D15" s="300">
        <f>E15+F15+G15</f>
        <v>3115037.2200000007</v>
      </c>
      <c r="E15" s="301">
        <v>2418806.9900000002</v>
      </c>
      <c r="F15" s="301">
        <v>28820.18</v>
      </c>
      <c r="G15" s="248">
        <v>667410.05000000005</v>
      </c>
      <c r="H15" s="300">
        <f>SUM(I15:K15)</f>
        <v>3115037.22</v>
      </c>
      <c r="I15" s="684">
        <v>2418806.9900000002</v>
      </c>
      <c r="J15" s="684">
        <v>155751.85999999999</v>
      </c>
      <c r="K15" s="685">
        <v>540478.37</v>
      </c>
      <c r="L15" s="271" t="s">
        <v>835</v>
      </c>
      <c r="M15" s="619">
        <v>42628</v>
      </c>
    </row>
    <row r="16" spans="1:13" s="91" customFormat="1" outlineLevel="1" x14ac:dyDescent="0.25">
      <c r="A16" s="260"/>
      <c r="B16" s="261" t="s">
        <v>67</v>
      </c>
      <c r="C16" s="363">
        <v>58254.98</v>
      </c>
      <c r="D16" s="300">
        <f>E16+F16+G16</f>
        <v>58254.98000000001</v>
      </c>
      <c r="E16" s="301">
        <f>C16*0.87216</f>
        <v>50807.663356800003</v>
      </c>
      <c r="F16" s="301">
        <f>C16*0.05</f>
        <v>2912.7490000000003</v>
      </c>
      <c r="G16" s="248">
        <f>C16-E16-F16</f>
        <v>4534.5676432</v>
      </c>
      <c r="H16" s="300">
        <f>I16+J16+K16</f>
        <v>58254.98</v>
      </c>
      <c r="I16" s="301">
        <v>50807.66</v>
      </c>
      <c r="J16" s="301">
        <v>2912.75</v>
      </c>
      <c r="K16" s="556">
        <v>4534.57</v>
      </c>
      <c r="L16" s="271" t="s">
        <v>745</v>
      </c>
      <c r="M16" s="615"/>
    </row>
    <row r="17" spans="1:13" s="9" customFormat="1" ht="33" customHeight="1" x14ac:dyDescent="0.2">
      <c r="A17" s="542">
        <v>4</v>
      </c>
      <c r="B17" s="60" t="s">
        <v>335</v>
      </c>
      <c r="C17" s="361">
        <f>SUM(C18:C20)</f>
        <v>66376.800000000003</v>
      </c>
      <c r="D17" s="21">
        <f>E17+F17+G17</f>
        <v>66376.800000000003</v>
      </c>
      <c r="E17" s="44">
        <f>SUM(E18:E20)</f>
        <v>57891.189888000008</v>
      </c>
      <c r="F17" s="44">
        <f>SUM(F18:F20)</f>
        <v>3318.84</v>
      </c>
      <c r="G17" s="297">
        <f>SUM(G18:G20)</f>
        <v>5166.7701119999947</v>
      </c>
      <c r="H17" s="21">
        <f>I17+J17+K17</f>
        <v>66376.800000000003</v>
      </c>
      <c r="I17" s="44">
        <f>SUM(I18:I20)</f>
        <v>57891.19</v>
      </c>
      <c r="J17" s="44">
        <f>SUM(J18:J20)</f>
        <v>3318.84</v>
      </c>
      <c r="K17" s="510">
        <f>SUM(K18:K20)</f>
        <v>5166.7700000000004</v>
      </c>
      <c r="L17" s="35"/>
      <c r="M17" s="616"/>
    </row>
    <row r="18" spans="1:13" outlineLevel="1" x14ac:dyDescent="0.25">
      <c r="A18" s="10"/>
      <c r="B18" s="43" t="s">
        <v>555</v>
      </c>
      <c r="C18" s="362"/>
      <c r="D18" s="29"/>
      <c r="E18" s="12"/>
      <c r="F18" s="12"/>
      <c r="G18" s="16"/>
      <c r="H18" s="29"/>
      <c r="I18" s="12"/>
      <c r="J18" s="12"/>
      <c r="K18" s="65"/>
      <c r="L18" s="28"/>
      <c r="M18" s="601"/>
    </row>
    <row r="19" spans="1:13" outlineLevel="1" x14ac:dyDescent="0.25">
      <c r="A19" s="10"/>
      <c r="B19" s="43" t="s">
        <v>554</v>
      </c>
      <c r="C19" s="362"/>
      <c r="D19" s="29"/>
      <c r="E19" s="12"/>
      <c r="F19" s="12"/>
      <c r="G19" s="16"/>
      <c r="H19" s="29"/>
      <c r="I19" s="12"/>
      <c r="J19" s="12"/>
      <c r="K19" s="65"/>
      <c r="L19" s="28"/>
      <c r="M19" s="601"/>
    </row>
    <row r="20" spans="1:13" s="91" customFormat="1" outlineLevel="1" x14ac:dyDescent="0.25">
      <c r="A20" s="260"/>
      <c r="B20" s="261" t="s">
        <v>67</v>
      </c>
      <c r="C20" s="363">
        <v>66376.800000000003</v>
      </c>
      <c r="D20" s="300">
        <f>E20+F20+G20</f>
        <v>66376.800000000003</v>
      </c>
      <c r="E20" s="301">
        <f>C20*0.87216</f>
        <v>57891.189888000008</v>
      </c>
      <c r="F20" s="301">
        <f>C20*0.05</f>
        <v>3318.84</v>
      </c>
      <c r="G20" s="248">
        <f>C20-E20-F20</f>
        <v>5166.7701119999947</v>
      </c>
      <c r="H20" s="300">
        <f>I20+J20+K20</f>
        <v>66376.800000000003</v>
      </c>
      <c r="I20" s="301">
        <v>57891.19</v>
      </c>
      <c r="J20" s="301">
        <v>3318.84</v>
      </c>
      <c r="K20" s="556">
        <v>5166.7700000000004</v>
      </c>
      <c r="L20" s="271" t="s">
        <v>745</v>
      </c>
      <c r="M20" s="615"/>
    </row>
    <row r="21" spans="1:13" s="395" customFormat="1" ht="38.25" customHeight="1" x14ac:dyDescent="0.2">
      <c r="A21" s="391">
        <v>5</v>
      </c>
      <c r="B21" s="392" t="s">
        <v>336</v>
      </c>
      <c r="C21" s="674">
        <f>SUM(C22:C23)</f>
        <v>6196059.0200000005</v>
      </c>
      <c r="D21" s="585">
        <f>E21+F21+G21</f>
        <v>6196059.0200000005</v>
      </c>
      <c r="E21" s="401">
        <f>SUM(E22:E23)</f>
        <v>4822082.9345120005</v>
      </c>
      <c r="F21" s="401">
        <f>SUM(F22:F23)</f>
        <v>61960.59</v>
      </c>
      <c r="G21" s="402">
        <f>SUM(G22:G23)</f>
        <v>1312015.4954879999</v>
      </c>
      <c r="H21" s="585">
        <f>I21+J21+K21</f>
        <v>103838.20000000001</v>
      </c>
      <c r="I21" s="401">
        <f>SUM(I22:I23)</f>
        <v>90563.520000000004</v>
      </c>
      <c r="J21" s="401">
        <f>SUM(J22:J23)</f>
        <v>5191.91</v>
      </c>
      <c r="K21" s="621">
        <f>SUM(K22:K23)</f>
        <v>8082.77</v>
      </c>
      <c r="L21" s="400"/>
      <c r="M21" s="614"/>
    </row>
    <row r="22" spans="1:13" s="91" customFormat="1" outlineLevel="1" x14ac:dyDescent="0.25">
      <c r="A22" s="260"/>
      <c r="B22" s="261" t="s">
        <v>555</v>
      </c>
      <c r="C22" s="363">
        <v>6092220.8200000003</v>
      </c>
      <c r="D22" s="300">
        <f>E22+F22+G22</f>
        <v>6092220.8200000003</v>
      </c>
      <c r="E22" s="301">
        <v>4731519.41</v>
      </c>
      <c r="F22" s="301">
        <v>56768.679999999993</v>
      </c>
      <c r="G22" s="248">
        <v>1303932.73</v>
      </c>
      <c r="H22" s="300"/>
      <c r="I22" s="301"/>
      <c r="J22" s="301"/>
      <c r="K22" s="556"/>
      <c r="L22" s="271" t="s">
        <v>853</v>
      </c>
      <c r="M22" s="619">
        <v>42650</v>
      </c>
    </row>
    <row r="23" spans="1:13" s="91" customFormat="1" outlineLevel="1" x14ac:dyDescent="0.25">
      <c r="A23" s="260"/>
      <c r="B23" s="261" t="s">
        <v>67</v>
      </c>
      <c r="C23" s="363">
        <v>103838.2</v>
      </c>
      <c r="D23" s="300">
        <f>E23+F23+G23</f>
        <v>103838.2</v>
      </c>
      <c r="E23" s="301">
        <f>C23*0.87216</f>
        <v>90563.524512000004</v>
      </c>
      <c r="F23" s="301">
        <f>C23*0.05</f>
        <v>5191.91</v>
      </c>
      <c r="G23" s="248">
        <f>C23-E23-F23</f>
        <v>8082.7654879999936</v>
      </c>
      <c r="H23" s="300">
        <f>I23+J23+K23</f>
        <v>103838.20000000001</v>
      </c>
      <c r="I23" s="301">
        <v>90563.520000000004</v>
      </c>
      <c r="J23" s="301">
        <v>5191.91</v>
      </c>
      <c r="K23" s="556">
        <v>8082.77</v>
      </c>
      <c r="L23" s="271" t="s">
        <v>745</v>
      </c>
      <c r="M23" s="615"/>
    </row>
    <row r="24" spans="1:13" s="9" customFormat="1" ht="32.25" customHeight="1" x14ac:dyDescent="0.2">
      <c r="A24" s="542">
        <v>6</v>
      </c>
      <c r="B24" s="60" t="s">
        <v>337</v>
      </c>
      <c r="C24" s="361">
        <f>SUM(C25:C31)</f>
        <v>484675.07</v>
      </c>
      <c r="D24" s="13">
        <f>E24+F24+G24</f>
        <v>484675.06999999995</v>
      </c>
      <c r="E24" s="44">
        <f>SUM(E25:E31)</f>
        <v>356526.98149199999</v>
      </c>
      <c r="F24" s="44">
        <f>SUM(F25:F31)</f>
        <v>4846.7507000000005</v>
      </c>
      <c r="G24" s="297">
        <f>SUM(G25:G31)</f>
        <v>123301.33780800001</v>
      </c>
      <c r="H24" s="13">
        <f>I24+J24+K24</f>
        <v>484675.06999999995</v>
      </c>
      <c r="I24" s="44">
        <f>SUM(I25:I31)</f>
        <v>356526.98</v>
      </c>
      <c r="J24" s="44">
        <f>SUM(J25:J31)</f>
        <v>4846.75</v>
      </c>
      <c r="K24" s="510">
        <f>SUM(K25:K31)</f>
        <v>123301.34</v>
      </c>
      <c r="L24" s="35"/>
      <c r="M24" s="616"/>
    </row>
    <row r="25" spans="1:13" outlineLevel="1" x14ac:dyDescent="0.25">
      <c r="A25" s="10"/>
      <c r="B25" s="43" t="s">
        <v>68</v>
      </c>
      <c r="C25" s="362"/>
      <c r="D25" s="309">
        <f t="shared" ref="D25:D30" si="1">E25+F25+G25</f>
        <v>0</v>
      </c>
      <c r="E25" s="12"/>
      <c r="F25" s="12"/>
      <c r="G25" s="16"/>
      <c r="H25" s="309">
        <f t="shared" ref="H25:H30" si="2">I25+J25+K25</f>
        <v>0</v>
      </c>
      <c r="I25" s="12"/>
      <c r="J25" s="12"/>
      <c r="K25" s="65"/>
      <c r="L25" s="28"/>
      <c r="M25" s="601"/>
    </row>
    <row r="26" spans="1:13" outlineLevel="1" x14ac:dyDescent="0.25">
      <c r="A26" s="10"/>
      <c r="B26" s="43" t="s">
        <v>64</v>
      </c>
      <c r="C26" s="362"/>
      <c r="D26" s="309">
        <f t="shared" si="1"/>
        <v>0</v>
      </c>
      <c r="E26" s="12"/>
      <c r="F26" s="12"/>
      <c r="G26" s="16"/>
      <c r="H26" s="309">
        <f t="shared" si="2"/>
        <v>0</v>
      </c>
      <c r="I26" s="12"/>
      <c r="J26" s="12"/>
      <c r="K26" s="65"/>
      <c r="L26" s="28"/>
      <c r="M26" s="601"/>
    </row>
    <row r="27" spans="1:13" outlineLevel="1" x14ac:dyDescent="0.25">
      <c r="A27" s="10"/>
      <c r="B27" s="43" t="s">
        <v>65</v>
      </c>
      <c r="C27" s="362"/>
      <c r="D27" s="309">
        <f t="shared" si="1"/>
        <v>0</v>
      </c>
      <c r="E27" s="12"/>
      <c r="F27" s="12"/>
      <c r="G27" s="16"/>
      <c r="H27" s="309">
        <f t="shared" si="2"/>
        <v>0</v>
      </c>
      <c r="I27" s="12"/>
      <c r="J27" s="12"/>
      <c r="K27" s="65"/>
      <c r="L27" s="28"/>
      <c r="M27" s="601"/>
    </row>
    <row r="28" spans="1:13" outlineLevel="1" x14ac:dyDescent="0.25">
      <c r="A28" s="10"/>
      <c r="B28" s="43" t="s">
        <v>66</v>
      </c>
      <c r="C28" s="362"/>
      <c r="D28" s="309">
        <f t="shared" si="1"/>
        <v>0</v>
      </c>
      <c r="E28" s="12"/>
      <c r="F28" s="12"/>
      <c r="G28" s="16"/>
      <c r="H28" s="309">
        <f t="shared" si="2"/>
        <v>0</v>
      </c>
      <c r="I28" s="12"/>
      <c r="J28" s="12"/>
      <c r="K28" s="65"/>
      <c r="L28" s="28"/>
      <c r="M28" s="601"/>
    </row>
    <row r="29" spans="1:13" outlineLevel="1" x14ac:dyDescent="0.25">
      <c r="A29" s="10"/>
      <c r="B29" s="43" t="s">
        <v>557</v>
      </c>
      <c r="C29" s="362"/>
      <c r="D29" s="309">
        <f t="shared" si="1"/>
        <v>0</v>
      </c>
      <c r="E29" s="12"/>
      <c r="F29" s="12"/>
      <c r="G29" s="16"/>
      <c r="H29" s="309">
        <f t="shared" si="2"/>
        <v>0</v>
      </c>
      <c r="I29" s="12"/>
      <c r="J29" s="12"/>
      <c r="K29" s="65"/>
      <c r="L29" s="28"/>
      <c r="M29" s="601"/>
    </row>
    <row r="30" spans="1:13" outlineLevel="1" x14ac:dyDescent="0.25">
      <c r="A30" s="10"/>
      <c r="B30" s="43" t="s">
        <v>554</v>
      </c>
      <c r="C30" s="362"/>
      <c r="D30" s="309">
        <f t="shared" si="1"/>
        <v>0</v>
      </c>
      <c r="E30" s="12"/>
      <c r="F30" s="12"/>
      <c r="G30" s="16"/>
      <c r="H30" s="309">
        <f t="shared" si="2"/>
        <v>0</v>
      </c>
      <c r="I30" s="12"/>
      <c r="J30" s="12"/>
      <c r="K30" s="65"/>
      <c r="L30" s="28"/>
      <c r="M30" s="601"/>
    </row>
    <row r="31" spans="1:13" s="91" customFormat="1" outlineLevel="1" x14ac:dyDescent="0.25">
      <c r="A31" s="260"/>
      <c r="B31" s="261" t="s">
        <v>67</v>
      </c>
      <c r="C31" s="363">
        <v>484675.07</v>
      </c>
      <c r="D31" s="300">
        <f>SUM(E31:G31)</f>
        <v>484675.06999999995</v>
      </c>
      <c r="E31" s="301">
        <f>C31*0.7356</f>
        <v>356526.98149199999</v>
      </c>
      <c r="F31" s="301">
        <f>C31*1%</f>
        <v>4846.7507000000005</v>
      </c>
      <c r="G31" s="248">
        <f>C31-E31-F31</f>
        <v>123301.33780800001</v>
      </c>
      <c r="H31" s="300">
        <f>I31+J31+K31</f>
        <v>484675.06999999995</v>
      </c>
      <c r="I31" s="301">
        <v>356526.98</v>
      </c>
      <c r="J31" s="301">
        <v>4846.75</v>
      </c>
      <c r="K31" s="556">
        <v>123301.34</v>
      </c>
      <c r="L31" s="271" t="s">
        <v>652</v>
      </c>
      <c r="M31" s="615"/>
    </row>
    <row r="32" spans="1:13" s="9" customFormat="1" ht="33" customHeight="1" x14ac:dyDescent="0.2">
      <c r="A32" s="542">
        <v>7</v>
      </c>
      <c r="B32" s="60" t="s">
        <v>338</v>
      </c>
      <c r="C32" s="361">
        <f>SUM(C33:C40)</f>
        <v>5201953.07</v>
      </c>
      <c r="D32" s="13">
        <f>E32+F32+G32</f>
        <v>5201953.0699999994</v>
      </c>
      <c r="E32" s="44">
        <f>SUM(E33:E40)</f>
        <v>4536987.4065538999</v>
      </c>
      <c r="F32" s="44">
        <f>SUM(F33:F40)</f>
        <v>52019.531400000007</v>
      </c>
      <c r="G32" s="297">
        <f>SUM(G33:G40)</f>
        <v>612946.13204609987</v>
      </c>
      <c r="H32" s="13">
        <f>I32+J32+K32</f>
        <v>5201953.07</v>
      </c>
      <c r="I32" s="44">
        <f>SUM(I33:I40)</f>
        <v>4536987.41</v>
      </c>
      <c r="J32" s="44">
        <f>SUM(J33:J40)</f>
        <v>52019.53</v>
      </c>
      <c r="K32" s="510">
        <f>SUM(K33:K40)</f>
        <v>612946.13</v>
      </c>
      <c r="L32" s="35"/>
      <c r="M32" s="616"/>
    </row>
    <row r="33" spans="1:13" outlineLevel="1" x14ac:dyDescent="0.25">
      <c r="A33" s="10"/>
      <c r="B33" s="43" t="s">
        <v>68</v>
      </c>
      <c r="C33" s="362"/>
      <c r="D33" s="29"/>
      <c r="E33" s="12"/>
      <c r="F33" s="12"/>
      <c r="G33" s="16"/>
      <c r="H33" s="29"/>
      <c r="I33" s="12"/>
      <c r="J33" s="12"/>
      <c r="K33" s="65"/>
      <c r="L33" s="28"/>
      <c r="M33" s="601"/>
    </row>
    <row r="34" spans="1:13" outlineLevel="1" x14ac:dyDescent="0.25">
      <c r="A34" s="10"/>
      <c r="B34" s="43" t="s">
        <v>64</v>
      </c>
      <c r="C34" s="362"/>
      <c r="D34" s="29"/>
      <c r="E34" s="12"/>
      <c r="F34" s="12"/>
      <c r="G34" s="16"/>
      <c r="H34" s="29"/>
      <c r="I34" s="12"/>
      <c r="J34" s="12"/>
      <c r="K34" s="65"/>
      <c r="L34" s="28"/>
      <c r="M34" s="601"/>
    </row>
    <row r="35" spans="1:13" outlineLevel="1" x14ac:dyDescent="0.25">
      <c r="A35" s="10"/>
      <c r="B35" s="43" t="s">
        <v>65</v>
      </c>
      <c r="C35" s="362"/>
      <c r="D35" s="29"/>
      <c r="E35" s="12"/>
      <c r="F35" s="12"/>
      <c r="G35" s="16"/>
      <c r="H35" s="29"/>
      <c r="I35" s="12"/>
      <c r="J35" s="12"/>
      <c r="K35" s="65"/>
      <c r="L35" s="28"/>
      <c r="M35" s="601"/>
    </row>
    <row r="36" spans="1:13" outlineLevel="1" x14ac:dyDescent="0.25">
      <c r="A36" s="10"/>
      <c r="B36" s="43" t="s">
        <v>66</v>
      </c>
      <c r="C36" s="362"/>
      <c r="D36" s="29"/>
      <c r="E36" s="12"/>
      <c r="F36" s="12"/>
      <c r="G36" s="16"/>
      <c r="H36" s="29"/>
      <c r="I36" s="12"/>
      <c r="J36" s="12"/>
      <c r="K36" s="65"/>
      <c r="L36" s="28"/>
      <c r="M36" s="601"/>
    </row>
    <row r="37" spans="1:13" s="91" customFormat="1" outlineLevel="1" x14ac:dyDescent="0.25">
      <c r="A37" s="260"/>
      <c r="B37" s="261" t="s">
        <v>555</v>
      </c>
      <c r="C37" s="363">
        <v>4609168</v>
      </c>
      <c r="D37" s="300">
        <f>SUM(E37:G37)</f>
        <v>4609168</v>
      </c>
      <c r="E37" s="301">
        <v>4100934.7090619002</v>
      </c>
      <c r="F37" s="301">
        <v>46091.680700000004</v>
      </c>
      <c r="G37" s="248">
        <v>462141.61023809994</v>
      </c>
      <c r="H37" s="300">
        <f>SUM(I37:K37)</f>
        <v>4609168</v>
      </c>
      <c r="I37" s="301">
        <v>4100934.71</v>
      </c>
      <c r="J37" s="301">
        <v>46091.68</v>
      </c>
      <c r="K37" s="556">
        <v>462141.61</v>
      </c>
      <c r="L37" s="271" t="s">
        <v>819</v>
      </c>
      <c r="M37" s="619">
        <v>42561</v>
      </c>
    </row>
    <row r="38" spans="1:13" outlineLevel="1" x14ac:dyDescent="0.25">
      <c r="A38" s="10"/>
      <c r="B38" s="43" t="s">
        <v>557</v>
      </c>
      <c r="C38" s="362"/>
      <c r="D38" s="29"/>
      <c r="E38" s="12"/>
      <c r="F38" s="12"/>
      <c r="G38" s="16"/>
      <c r="H38" s="29"/>
      <c r="I38" s="12"/>
      <c r="J38" s="12"/>
      <c r="K38" s="65"/>
      <c r="L38" s="28"/>
      <c r="M38" s="601"/>
    </row>
    <row r="39" spans="1:13" outlineLevel="1" x14ac:dyDescent="0.25">
      <c r="A39" s="10"/>
      <c r="B39" s="43" t="s">
        <v>554</v>
      </c>
      <c r="C39" s="362"/>
      <c r="D39" s="29"/>
      <c r="E39" s="12"/>
      <c r="F39" s="12"/>
      <c r="G39" s="16"/>
      <c r="H39" s="29"/>
      <c r="I39" s="12"/>
      <c r="J39" s="12"/>
      <c r="K39" s="65"/>
      <c r="L39" s="28"/>
      <c r="M39" s="601"/>
    </row>
    <row r="40" spans="1:13" s="91" customFormat="1" outlineLevel="1" x14ac:dyDescent="0.25">
      <c r="A40" s="260"/>
      <c r="B40" s="261" t="s">
        <v>67</v>
      </c>
      <c r="C40" s="363">
        <v>592785.06999999995</v>
      </c>
      <c r="D40" s="300">
        <f>SUM(E40:G40)</f>
        <v>592785.06999999995</v>
      </c>
      <c r="E40" s="301">
        <f>C40*0.7356</f>
        <v>436052.69749200001</v>
      </c>
      <c r="F40" s="301">
        <f>C40*1%</f>
        <v>5927.8507</v>
      </c>
      <c r="G40" s="248">
        <f>C40-E40-F40</f>
        <v>150804.52180799993</v>
      </c>
      <c r="H40" s="300">
        <f>I40+J40+K40</f>
        <v>592785.06999999995</v>
      </c>
      <c r="I40" s="301">
        <v>436052.7</v>
      </c>
      <c r="J40" s="301">
        <v>5927.85</v>
      </c>
      <c r="K40" s="556">
        <v>150804.51999999999</v>
      </c>
      <c r="L40" s="271" t="s">
        <v>652</v>
      </c>
      <c r="M40" s="615"/>
    </row>
    <row r="41" spans="1:13" s="9" customFormat="1" ht="33.75" customHeight="1" x14ac:dyDescent="0.2">
      <c r="A41" s="542">
        <v>8</v>
      </c>
      <c r="B41" s="60" t="s">
        <v>339</v>
      </c>
      <c r="C41" s="361">
        <f>SUM(C42:C49)</f>
        <v>5175590.93</v>
      </c>
      <c r="D41" s="13">
        <f>E41+F41+G41</f>
        <v>5175590.93</v>
      </c>
      <c r="E41" s="44">
        <f>SUM(E42:E49)</f>
        <v>4513995.1447260994</v>
      </c>
      <c r="F41" s="44">
        <f>SUM(F42:F49)</f>
        <v>51755.908599999995</v>
      </c>
      <c r="G41" s="297">
        <f>SUM(G42:G49)</f>
        <v>609839.87667390029</v>
      </c>
      <c r="H41" s="13">
        <f>I41+J41+K41</f>
        <v>5175590.93</v>
      </c>
      <c r="I41" s="44">
        <f>SUM(I42:I49)</f>
        <v>4513995.1399999997</v>
      </c>
      <c r="J41" s="44">
        <f>SUM(J42:J49)</f>
        <v>51755.91</v>
      </c>
      <c r="K41" s="510">
        <f>SUM(K42:K49)</f>
        <v>609839.88</v>
      </c>
      <c r="L41" s="35"/>
      <c r="M41" s="616"/>
    </row>
    <row r="42" spans="1:13" outlineLevel="1" x14ac:dyDescent="0.25">
      <c r="A42" s="10"/>
      <c r="B42" s="43" t="s">
        <v>68</v>
      </c>
      <c r="C42" s="362"/>
      <c r="D42" s="29"/>
      <c r="E42" s="12"/>
      <c r="F42" s="12"/>
      <c r="G42" s="16"/>
      <c r="H42" s="29"/>
      <c r="I42" s="12"/>
      <c r="J42" s="12"/>
      <c r="K42" s="65"/>
      <c r="L42" s="28"/>
      <c r="M42" s="601"/>
    </row>
    <row r="43" spans="1:13" outlineLevel="1" x14ac:dyDescent="0.25">
      <c r="A43" s="10"/>
      <c r="B43" s="43" t="s">
        <v>64</v>
      </c>
      <c r="C43" s="362"/>
      <c r="D43" s="29"/>
      <c r="E43" s="12"/>
      <c r="F43" s="12"/>
      <c r="G43" s="16"/>
      <c r="H43" s="29"/>
      <c r="I43" s="12"/>
      <c r="J43" s="12"/>
      <c r="K43" s="65"/>
      <c r="L43" s="28"/>
      <c r="M43" s="601"/>
    </row>
    <row r="44" spans="1:13" outlineLevel="1" x14ac:dyDescent="0.25">
      <c r="A44" s="10"/>
      <c r="B44" s="43" t="s">
        <v>65</v>
      </c>
      <c r="C44" s="362"/>
      <c r="D44" s="29"/>
      <c r="E44" s="12"/>
      <c r="F44" s="12"/>
      <c r="G44" s="16"/>
      <c r="H44" s="29"/>
      <c r="I44" s="12"/>
      <c r="J44" s="12"/>
      <c r="K44" s="65"/>
      <c r="L44" s="28"/>
      <c r="M44" s="601"/>
    </row>
    <row r="45" spans="1:13" outlineLevel="1" x14ac:dyDescent="0.25">
      <c r="A45" s="10"/>
      <c r="B45" s="43" t="s">
        <v>66</v>
      </c>
      <c r="C45" s="362"/>
      <c r="D45" s="29"/>
      <c r="E45" s="12"/>
      <c r="F45" s="12"/>
      <c r="G45" s="16"/>
      <c r="H45" s="29"/>
      <c r="I45" s="12"/>
      <c r="J45" s="12"/>
      <c r="K45" s="65"/>
      <c r="L45" s="28"/>
      <c r="M45" s="601"/>
    </row>
    <row r="46" spans="1:13" s="91" customFormat="1" outlineLevel="1" x14ac:dyDescent="0.25">
      <c r="A46" s="260"/>
      <c r="B46" s="261" t="s">
        <v>555</v>
      </c>
      <c r="C46" s="363">
        <v>4585133</v>
      </c>
      <c r="D46" s="300">
        <f>SUM(E46:G46)</f>
        <v>4585133</v>
      </c>
      <c r="E46" s="301">
        <v>4079654.2914180993</v>
      </c>
      <c r="F46" s="301">
        <v>45851.329299999998</v>
      </c>
      <c r="G46" s="248">
        <v>459627.37928190036</v>
      </c>
      <c r="H46" s="300">
        <f>SUM(I46:K46)</f>
        <v>4585133</v>
      </c>
      <c r="I46" s="301">
        <v>4079654.29</v>
      </c>
      <c r="J46" s="301">
        <v>45851.33</v>
      </c>
      <c r="K46" s="556">
        <v>459627.38</v>
      </c>
      <c r="L46" s="271" t="s">
        <v>819</v>
      </c>
      <c r="M46" s="619">
        <v>42561</v>
      </c>
    </row>
    <row r="47" spans="1:13" outlineLevel="1" x14ac:dyDescent="0.25">
      <c r="A47" s="10"/>
      <c r="B47" s="43" t="s">
        <v>557</v>
      </c>
      <c r="C47" s="362"/>
      <c r="D47" s="29"/>
      <c r="E47" s="12"/>
      <c r="F47" s="12"/>
      <c r="G47" s="16"/>
      <c r="H47" s="29"/>
      <c r="I47" s="12"/>
      <c r="J47" s="12"/>
      <c r="K47" s="65"/>
      <c r="L47" s="28"/>
      <c r="M47" s="601"/>
    </row>
    <row r="48" spans="1:13" outlineLevel="1" x14ac:dyDescent="0.25">
      <c r="A48" s="10"/>
      <c r="B48" s="43" t="s">
        <v>554</v>
      </c>
      <c r="C48" s="362"/>
      <c r="D48" s="29"/>
      <c r="E48" s="12"/>
      <c r="F48" s="12"/>
      <c r="G48" s="16"/>
      <c r="H48" s="29"/>
      <c r="I48" s="12"/>
      <c r="J48" s="12"/>
      <c r="K48" s="65"/>
      <c r="L48" s="28"/>
      <c r="M48" s="601"/>
    </row>
    <row r="49" spans="1:13" s="91" customFormat="1" outlineLevel="1" x14ac:dyDescent="0.25">
      <c r="A49" s="260"/>
      <c r="B49" s="261" t="s">
        <v>67</v>
      </c>
      <c r="C49" s="363">
        <v>590457.93000000005</v>
      </c>
      <c r="D49" s="300">
        <f>SUM(E49:G49)</f>
        <v>590457.93000000005</v>
      </c>
      <c r="E49" s="301">
        <f>C49*0.7356</f>
        <v>434340.85330800008</v>
      </c>
      <c r="F49" s="301">
        <f>C49*1%</f>
        <v>5904.5793000000003</v>
      </c>
      <c r="G49" s="248">
        <f>C49-E49-F49</f>
        <v>150212.49739199996</v>
      </c>
      <c r="H49" s="300">
        <f>I49+J49+K49</f>
        <v>590457.92999999993</v>
      </c>
      <c r="I49" s="301">
        <v>434340.85</v>
      </c>
      <c r="J49" s="301">
        <v>5904.58</v>
      </c>
      <c r="K49" s="556">
        <v>150212.5</v>
      </c>
      <c r="L49" s="271" t="s">
        <v>652</v>
      </c>
      <c r="M49" s="615"/>
    </row>
    <row r="50" spans="1:13" s="9" customFormat="1" ht="33.75" customHeight="1" x14ac:dyDescent="0.2">
      <c r="A50" s="542">
        <v>9</v>
      </c>
      <c r="B50" s="60" t="s">
        <v>340</v>
      </c>
      <c r="C50" s="361">
        <f>SUM(C51:C58)</f>
        <v>5798617.4800000004</v>
      </c>
      <c r="D50" s="13">
        <f>E50+F50+G50</f>
        <v>5798617.4800000004</v>
      </c>
      <c r="E50" s="44">
        <f>SUM(E51:E58)</f>
        <v>4976689.2864360008</v>
      </c>
      <c r="F50" s="44">
        <f>SUM(F51:F58)</f>
        <v>57986.174800000008</v>
      </c>
      <c r="G50" s="297">
        <f>SUM(G51:G58)</f>
        <v>763942.01876399945</v>
      </c>
      <c r="H50" s="13">
        <f>I50+J50+K50</f>
        <v>5798617.4799999995</v>
      </c>
      <c r="I50" s="44">
        <f>SUM(I51:I58)</f>
        <v>5057322.22</v>
      </c>
      <c r="J50" s="44">
        <f>SUM(J51:J58)</f>
        <v>57986.17</v>
      </c>
      <c r="K50" s="510">
        <f>SUM(K51:K58)</f>
        <v>683309.09</v>
      </c>
      <c r="L50" s="35"/>
      <c r="M50" s="616"/>
    </row>
    <row r="51" spans="1:13" outlineLevel="1" x14ac:dyDescent="0.25">
      <c r="A51" s="10"/>
      <c r="B51" s="43" t="s">
        <v>68</v>
      </c>
      <c r="C51" s="362"/>
      <c r="D51" s="29"/>
      <c r="E51" s="12"/>
      <c r="F51" s="12"/>
      <c r="G51" s="16"/>
      <c r="H51" s="29"/>
      <c r="I51" s="12"/>
      <c r="J51" s="12"/>
      <c r="K51" s="65"/>
      <c r="L51" s="28"/>
      <c r="M51" s="601"/>
    </row>
    <row r="52" spans="1:13" outlineLevel="1" x14ac:dyDescent="0.25">
      <c r="A52" s="10"/>
      <c r="B52" s="43" t="s">
        <v>64</v>
      </c>
      <c r="C52" s="362"/>
      <c r="D52" s="29"/>
      <c r="E52" s="12"/>
      <c r="F52" s="12"/>
      <c r="G52" s="16"/>
      <c r="H52" s="29"/>
      <c r="I52" s="12"/>
      <c r="J52" s="12"/>
      <c r="K52" s="65"/>
      <c r="L52" s="28"/>
      <c r="M52" s="601"/>
    </row>
    <row r="53" spans="1:13" outlineLevel="1" x14ac:dyDescent="0.25">
      <c r="A53" s="10"/>
      <c r="B53" s="43" t="s">
        <v>65</v>
      </c>
      <c r="C53" s="362"/>
      <c r="D53" s="29"/>
      <c r="E53" s="12"/>
      <c r="F53" s="12"/>
      <c r="G53" s="16"/>
      <c r="H53" s="29"/>
      <c r="I53" s="12"/>
      <c r="J53" s="12"/>
      <c r="K53" s="65"/>
      <c r="L53" s="28"/>
      <c r="M53" s="601"/>
    </row>
    <row r="54" spans="1:13" outlineLevel="1" x14ac:dyDescent="0.25">
      <c r="A54" s="10"/>
      <c r="B54" s="43" t="s">
        <v>66</v>
      </c>
      <c r="C54" s="362"/>
      <c r="D54" s="29"/>
      <c r="E54" s="12"/>
      <c r="F54" s="12"/>
      <c r="G54" s="16"/>
      <c r="H54" s="29"/>
      <c r="I54" s="12"/>
      <c r="J54" s="12"/>
      <c r="K54" s="65"/>
      <c r="L54" s="28"/>
      <c r="M54" s="601"/>
    </row>
    <row r="55" spans="1:13" s="91" customFormat="1" outlineLevel="1" x14ac:dyDescent="0.25">
      <c r="A55" s="260"/>
      <c r="B55" s="261" t="s">
        <v>555</v>
      </c>
      <c r="C55" s="363">
        <v>5208159.5500000007</v>
      </c>
      <c r="D55" s="300">
        <f>E55+F55+G55</f>
        <v>5208159.5500000007</v>
      </c>
      <c r="E55" s="301">
        <f>C55*0.87216</f>
        <v>4542348.4331280012</v>
      </c>
      <c r="F55" s="301">
        <f>C55*1%</f>
        <v>52081.59550000001</v>
      </c>
      <c r="G55" s="248">
        <f>C55-E55-F55</f>
        <v>613729.52137199952</v>
      </c>
      <c r="H55" s="300">
        <f>I55+J55+K55</f>
        <v>5208159.55</v>
      </c>
      <c r="I55" s="301">
        <v>4622981.37</v>
      </c>
      <c r="J55" s="301">
        <v>52081.59</v>
      </c>
      <c r="K55" s="556">
        <v>533096.59</v>
      </c>
      <c r="L55" s="271" t="s">
        <v>756</v>
      </c>
      <c r="M55" s="615"/>
    </row>
    <row r="56" spans="1:13" outlineLevel="1" x14ac:dyDescent="0.25">
      <c r="A56" s="10"/>
      <c r="B56" s="43" t="s">
        <v>557</v>
      </c>
      <c r="C56" s="362"/>
      <c r="D56" s="29"/>
      <c r="E56" s="12"/>
      <c r="F56" s="12"/>
      <c r="G56" s="16"/>
      <c r="H56" s="29"/>
      <c r="I56" s="12"/>
      <c r="J56" s="12"/>
      <c r="K56" s="65"/>
      <c r="L56" s="28"/>
      <c r="M56" s="601"/>
    </row>
    <row r="57" spans="1:13" outlineLevel="1" x14ac:dyDescent="0.25">
      <c r="A57" s="10"/>
      <c r="B57" s="43" t="s">
        <v>554</v>
      </c>
      <c r="C57" s="362"/>
      <c r="D57" s="29"/>
      <c r="E57" s="12"/>
      <c r="F57" s="12"/>
      <c r="G57" s="16"/>
      <c r="H57" s="29"/>
      <c r="I57" s="12"/>
      <c r="J57" s="12"/>
      <c r="K57" s="65"/>
      <c r="L57" s="28"/>
      <c r="M57" s="601"/>
    </row>
    <row r="58" spans="1:13" s="91" customFormat="1" outlineLevel="1" x14ac:dyDescent="0.25">
      <c r="A58" s="260"/>
      <c r="B58" s="261" t="s">
        <v>67</v>
      </c>
      <c r="C58" s="363">
        <v>590457.93000000005</v>
      </c>
      <c r="D58" s="300">
        <f>SUM(E58:G58)</f>
        <v>590457.93000000005</v>
      </c>
      <c r="E58" s="301">
        <f>C58*0.7356</f>
        <v>434340.85330800008</v>
      </c>
      <c r="F58" s="301">
        <f>C58*1%</f>
        <v>5904.5793000000003</v>
      </c>
      <c r="G58" s="248">
        <f>C58-E58-F58</f>
        <v>150212.49739199996</v>
      </c>
      <c r="H58" s="300">
        <f>I58+J58+K58</f>
        <v>590457.92999999993</v>
      </c>
      <c r="I58" s="301">
        <v>434340.85</v>
      </c>
      <c r="J58" s="301">
        <v>5904.58</v>
      </c>
      <c r="K58" s="556">
        <v>150212.5</v>
      </c>
      <c r="L58" s="271" t="s">
        <v>652</v>
      </c>
      <c r="M58" s="615"/>
    </row>
    <row r="59" spans="1:13" s="9" customFormat="1" ht="38.25" customHeight="1" x14ac:dyDescent="0.2">
      <c r="A59" s="542">
        <v>10</v>
      </c>
      <c r="B59" s="60" t="s">
        <v>341</v>
      </c>
      <c r="C59" s="361">
        <f>SUM(C60:C66)</f>
        <v>5761652.9799999995</v>
      </c>
      <c r="D59" s="13">
        <f>E59+F59+G59</f>
        <v>5761652.9799999986</v>
      </c>
      <c r="E59" s="44">
        <f>SUM(E60:E66)</f>
        <v>4944450.3281159997</v>
      </c>
      <c r="F59" s="44">
        <f>SUM(F60:F66)</f>
        <v>57616.529799999997</v>
      </c>
      <c r="G59" s="297">
        <f>SUM(G60:G66)</f>
        <v>759586.12208399968</v>
      </c>
      <c r="H59" s="13">
        <f>I59+J59+K59</f>
        <v>5761652.9800000004</v>
      </c>
      <c r="I59" s="44">
        <f>SUM(I60:I66)</f>
        <v>5025083.26</v>
      </c>
      <c r="J59" s="44">
        <f>SUM(J60:J66)</f>
        <v>57616.53</v>
      </c>
      <c r="K59" s="510">
        <f>SUM(K60:K66)</f>
        <v>678953.19</v>
      </c>
      <c r="L59" s="35"/>
      <c r="M59" s="616"/>
    </row>
    <row r="60" spans="1:13" outlineLevel="1" x14ac:dyDescent="0.25">
      <c r="A60" s="10"/>
      <c r="B60" s="43" t="s">
        <v>68</v>
      </c>
      <c r="C60" s="362"/>
      <c r="D60" s="29"/>
      <c r="E60" s="12"/>
      <c r="F60" s="12"/>
      <c r="G60" s="16"/>
      <c r="H60" s="29"/>
      <c r="I60" s="12"/>
      <c r="J60" s="12"/>
      <c r="K60" s="65"/>
      <c r="L60" s="28"/>
      <c r="M60" s="601"/>
    </row>
    <row r="61" spans="1:13" outlineLevel="1" x14ac:dyDescent="0.25">
      <c r="A61" s="10"/>
      <c r="B61" s="43" t="s">
        <v>65</v>
      </c>
      <c r="C61" s="362"/>
      <c r="D61" s="29"/>
      <c r="E61" s="12"/>
      <c r="F61" s="12"/>
      <c r="G61" s="16"/>
      <c r="H61" s="29"/>
      <c r="I61" s="12"/>
      <c r="J61" s="12"/>
      <c r="K61" s="65"/>
      <c r="L61" s="28"/>
      <c r="M61" s="601"/>
    </row>
    <row r="62" spans="1:13" outlineLevel="1" x14ac:dyDescent="0.25">
      <c r="A62" s="10"/>
      <c r="B62" s="43" t="s">
        <v>66</v>
      </c>
      <c r="C62" s="362"/>
      <c r="D62" s="29"/>
      <c r="E62" s="12"/>
      <c r="F62" s="12"/>
      <c r="G62" s="16"/>
      <c r="H62" s="29"/>
      <c r="I62" s="12"/>
      <c r="J62" s="12"/>
      <c r="K62" s="65"/>
      <c r="L62" s="28"/>
      <c r="M62" s="601"/>
    </row>
    <row r="63" spans="1:13" s="91" customFormat="1" outlineLevel="1" x14ac:dyDescent="0.25">
      <c r="A63" s="260"/>
      <c r="B63" s="261" t="s">
        <v>555</v>
      </c>
      <c r="C63" s="363">
        <v>5171195.05</v>
      </c>
      <c r="D63" s="300">
        <f>E63+F63+G63</f>
        <v>5171195.05</v>
      </c>
      <c r="E63" s="301">
        <f>C63*0.87216</f>
        <v>4510109.474808</v>
      </c>
      <c r="F63" s="301">
        <f>C63*1%</f>
        <v>51711.950499999999</v>
      </c>
      <c r="G63" s="248">
        <f>C63-E63-F63</f>
        <v>609373.62469199975</v>
      </c>
      <c r="H63" s="300">
        <f>I63+J63+K63</f>
        <v>5171195.0500000007</v>
      </c>
      <c r="I63" s="301">
        <v>4590742.41</v>
      </c>
      <c r="J63" s="301">
        <v>51711.95</v>
      </c>
      <c r="K63" s="556">
        <v>528740.68999999994</v>
      </c>
      <c r="L63" s="271" t="s">
        <v>756</v>
      </c>
      <c r="M63" s="615"/>
    </row>
    <row r="64" spans="1:13" outlineLevel="1" x14ac:dyDescent="0.25">
      <c r="A64" s="10"/>
      <c r="B64" s="43" t="s">
        <v>557</v>
      </c>
      <c r="C64" s="362"/>
      <c r="D64" s="29"/>
      <c r="E64" s="12"/>
      <c r="F64" s="12"/>
      <c r="G64" s="16"/>
      <c r="H64" s="29"/>
      <c r="I64" s="12"/>
      <c r="J64" s="12"/>
      <c r="K64" s="65"/>
      <c r="L64" s="28"/>
      <c r="M64" s="601"/>
    </row>
    <row r="65" spans="1:13" outlineLevel="1" x14ac:dyDescent="0.25">
      <c r="A65" s="10"/>
      <c r="B65" s="43" t="s">
        <v>554</v>
      </c>
      <c r="C65" s="362"/>
      <c r="D65" s="29"/>
      <c r="E65" s="12"/>
      <c r="F65" s="12"/>
      <c r="G65" s="16"/>
      <c r="H65" s="29"/>
      <c r="I65" s="12"/>
      <c r="J65" s="12"/>
      <c r="K65" s="65"/>
      <c r="L65" s="28"/>
      <c r="M65" s="601"/>
    </row>
    <row r="66" spans="1:13" s="91" customFormat="1" outlineLevel="1" x14ac:dyDescent="0.25">
      <c r="A66" s="260"/>
      <c r="B66" s="261" t="s">
        <v>67</v>
      </c>
      <c r="C66" s="363">
        <v>590457.93000000005</v>
      </c>
      <c r="D66" s="300">
        <f>SUM(E66:G66)</f>
        <v>590457.93000000005</v>
      </c>
      <c r="E66" s="301">
        <f>C66*0.7356</f>
        <v>434340.85330800008</v>
      </c>
      <c r="F66" s="301">
        <f>C66*1%</f>
        <v>5904.5793000000003</v>
      </c>
      <c r="G66" s="248">
        <f>C66-E66-F66</f>
        <v>150212.49739199996</v>
      </c>
      <c r="H66" s="300">
        <f>I66+J66+K66</f>
        <v>590457.92999999993</v>
      </c>
      <c r="I66" s="301">
        <v>434340.85</v>
      </c>
      <c r="J66" s="301">
        <v>5904.58</v>
      </c>
      <c r="K66" s="556">
        <v>150212.5</v>
      </c>
      <c r="L66" s="271" t="s">
        <v>652</v>
      </c>
      <c r="M66" s="615"/>
    </row>
    <row r="67" spans="1:13" s="9" customFormat="1" ht="32.25" customHeight="1" x14ac:dyDescent="0.2">
      <c r="A67" s="542">
        <v>11</v>
      </c>
      <c r="B67" s="60" t="s">
        <v>37</v>
      </c>
      <c r="C67" s="361">
        <f>SUM(C68:C70)</f>
        <v>51581.15</v>
      </c>
      <c r="D67" s="13">
        <f>E67+F67+G67</f>
        <v>51581.149999999994</v>
      </c>
      <c r="E67" s="44">
        <f>SUM(E68:E70)</f>
        <v>44987.53</v>
      </c>
      <c r="F67" s="44">
        <f>SUM(F68:F70)</f>
        <v>2579.06</v>
      </c>
      <c r="G67" s="297">
        <f>SUM(G68:G70)</f>
        <v>4014.56</v>
      </c>
      <c r="H67" s="13">
        <f>I67+J67+K67</f>
        <v>51581.149999999994</v>
      </c>
      <c r="I67" s="44">
        <f>SUM(I68:I70)</f>
        <v>44987.53</v>
      </c>
      <c r="J67" s="44">
        <f>SUM(J68:J70)</f>
        <v>2579.06</v>
      </c>
      <c r="K67" s="510">
        <f>SUM(K68:K70)</f>
        <v>4014.56</v>
      </c>
      <c r="L67" s="35"/>
      <c r="M67" s="616"/>
    </row>
    <row r="68" spans="1:13" outlineLevel="1" x14ac:dyDescent="0.25">
      <c r="A68" s="10"/>
      <c r="B68" s="43" t="s">
        <v>557</v>
      </c>
      <c r="C68" s="362"/>
      <c r="D68" s="29"/>
      <c r="E68" s="12"/>
      <c r="F68" s="12"/>
      <c r="G68" s="16"/>
      <c r="H68" s="29"/>
      <c r="I68" s="12"/>
      <c r="J68" s="12"/>
      <c r="K68" s="65"/>
      <c r="L68" s="28"/>
      <c r="M68" s="601"/>
    </row>
    <row r="69" spans="1:13" outlineLevel="1" x14ac:dyDescent="0.25">
      <c r="A69" s="10"/>
      <c r="B69" s="43" t="s">
        <v>554</v>
      </c>
      <c r="C69" s="362"/>
      <c r="D69" s="29"/>
      <c r="E69" s="12"/>
      <c r="F69" s="12"/>
      <c r="G69" s="16"/>
      <c r="H69" s="29"/>
      <c r="I69" s="12"/>
      <c r="J69" s="12"/>
      <c r="K69" s="65"/>
      <c r="L69" s="28"/>
      <c r="M69" s="601"/>
    </row>
    <row r="70" spans="1:13" s="91" customFormat="1" outlineLevel="1" x14ac:dyDescent="0.25">
      <c r="A70" s="260"/>
      <c r="B70" s="261" t="s">
        <v>67</v>
      </c>
      <c r="C70" s="363">
        <v>51581.15</v>
      </c>
      <c r="D70" s="300">
        <f>E70+F70+G70</f>
        <v>51581.149999999994</v>
      </c>
      <c r="E70" s="301">
        <v>44987.53</v>
      </c>
      <c r="F70" s="301">
        <v>2579.06</v>
      </c>
      <c r="G70" s="248">
        <v>4014.56</v>
      </c>
      <c r="H70" s="300">
        <f>I70+J70+K70</f>
        <v>51581.149999999994</v>
      </c>
      <c r="I70" s="301">
        <v>44987.53</v>
      </c>
      <c r="J70" s="301">
        <v>2579.06</v>
      </c>
      <c r="K70" s="248">
        <v>4014.56</v>
      </c>
      <c r="L70" s="271" t="s">
        <v>781</v>
      </c>
      <c r="M70" s="615"/>
    </row>
    <row r="71" spans="1:13" s="9" customFormat="1" ht="29.25" customHeight="1" x14ac:dyDescent="0.2">
      <c r="A71" s="542">
        <v>12</v>
      </c>
      <c r="B71" s="60" t="s">
        <v>342</v>
      </c>
      <c r="C71" s="361">
        <f>SUM(C72:C78)</f>
        <v>502082.62</v>
      </c>
      <c r="D71" s="13">
        <f>E71+F71+G71</f>
        <v>502082.62</v>
      </c>
      <c r="E71" s="44">
        <f>SUM(E72:E78)</f>
        <v>369331.97527200001</v>
      </c>
      <c r="F71" s="44">
        <f>SUM(F72:F78)</f>
        <v>5020.8262000000004</v>
      </c>
      <c r="G71" s="297">
        <f>SUM(G72:G78)</f>
        <v>127729.81852799999</v>
      </c>
      <c r="H71" s="13">
        <f>I71+J71+K71</f>
        <v>502082.62</v>
      </c>
      <c r="I71" s="44">
        <f>SUM(I72:I78)</f>
        <v>369331.97</v>
      </c>
      <c r="J71" s="44">
        <f>SUM(J72:J78)</f>
        <v>5020.83</v>
      </c>
      <c r="K71" s="510">
        <f>SUM(K72:K78)</f>
        <v>127729.82</v>
      </c>
      <c r="L71" s="35"/>
      <c r="M71" s="616"/>
    </row>
    <row r="72" spans="1:13" outlineLevel="1" x14ac:dyDescent="0.25">
      <c r="A72" s="10"/>
      <c r="B72" s="43" t="s">
        <v>68</v>
      </c>
      <c r="C72" s="362"/>
      <c r="D72" s="29"/>
      <c r="E72" s="12"/>
      <c r="F72" s="12"/>
      <c r="G72" s="16"/>
      <c r="H72" s="29"/>
      <c r="I72" s="12"/>
      <c r="J72" s="12"/>
      <c r="K72" s="65"/>
      <c r="L72" s="28"/>
      <c r="M72" s="601"/>
    </row>
    <row r="73" spans="1:13" outlineLevel="1" x14ac:dyDescent="0.25">
      <c r="A73" s="10"/>
      <c r="B73" s="43" t="s">
        <v>64</v>
      </c>
      <c r="C73" s="362"/>
      <c r="D73" s="29"/>
      <c r="E73" s="12"/>
      <c r="F73" s="12"/>
      <c r="G73" s="16"/>
      <c r="H73" s="29"/>
      <c r="I73" s="12"/>
      <c r="J73" s="12"/>
      <c r="K73" s="65"/>
      <c r="L73" s="28"/>
      <c r="M73" s="601"/>
    </row>
    <row r="74" spans="1:13" outlineLevel="1" x14ac:dyDescent="0.25">
      <c r="A74" s="10"/>
      <c r="B74" s="43" t="s">
        <v>65</v>
      </c>
      <c r="C74" s="362"/>
      <c r="D74" s="29"/>
      <c r="E74" s="12"/>
      <c r="F74" s="12"/>
      <c r="G74" s="16"/>
      <c r="H74" s="29"/>
      <c r="I74" s="12"/>
      <c r="J74" s="12"/>
      <c r="K74" s="65"/>
      <c r="L74" s="28"/>
      <c r="M74" s="601"/>
    </row>
    <row r="75" spans="1:13" outlineLevel="1" x14ac:dyDescent="0.25">
      <c r="A75" s="10"/>
      <c r="B75" s="43" t="s">
        <v>66</v>
      </c>
      <c r="C75" s="362"/>
      <c r="D75" s="29"/>
      <c r="E75" s="12"/>
      <c r="F75" s="12"/>
      <c r="G75" s="16"/>
      <c r="H75" s="29"/>
      <c r="I75" s="12"/>
      <c r="J75" s="12"/>
      <c r="K75" s="65"/>
      <c r="L75" s="28"/>
      <c r="M75" s="601"/>
    </row>
    <row r="76" spans="1:13" outlineLevel="1" x14ac:dyDescent="0.25">
      <c r="A76" s="10"/>
      <c r="B76" s="43" t="s">
        <v>557</v>
      </c>
      <c r="C76" s="362"/>
      <c r="D76" s="29"/>
      <c r="E76" s="12"/>
      <c r="F76" s="12"/>
      <c r="G76" s="16"/>
      <c r="H76" s="29"/>
      <c r="I76" s="12"/>
      <c r="J76" s="12"/>
      <c r="K76" s="65"/>
      <c r="L76" s="28"/>
      <c r="M76" s="601"/>
    </row>
    <row r="77" spans="1:13" outlineLevel="1" x14ac:dyDescent="0.25">
      <c r="A77" s="10"/>
      <c r="B77" s="43" t="s">
        <v>554</v>
      </c>
      <c r="C77" s="362"/>
      <c r="D77" s="29"/>
      <c r="E77" s="12"/>
      <c r="F77" s="12"/>
      <c r="G77" s="16"/>
      <c r="H77" s="29"/>
      <c r="I77" s="12"/>
      <c r="J77" s="12"/>
      <c r="K77" s="65"/>
      <c r="L77" s="28"/>
      <c r="M77" s="601"/>
    </row>
    <row r="78" spans="1:13" s="91" customFormat="1" outlineLevel="1" x14ac:dyDescent="0.25">
      <c r="A78" s="260"/>
      <c r="B78" s="261" t="s">
        <v>67</v>
      </c>
      <c r="C78" s="363">
        <v>502082.62</v>
      </c>
      <c r="D78" s="300">
        <f>SUM(E78:G78)</f>
        <v>502082.62</v>
      </c>
      <c r="E78" s="301">
        <f>C78*0.7356</f>
        <v>369331.97527200001</v>
      </c>
      <c r="F78" s="301">
        <f>C78*1%</f>
        <v>5020.8262000000004</v>
      </c>
      <c r="G78" s="248">
        <f>C78-E78-F78</f>
        <v>127729.81852799999</v>
      </c>
      <c r="H78" s="300">
        <f>I78+J78+K78</f>
        <v>502082.62</v>
      </c>
      <c r="I78" s="301">
        <v>369331.97</v>
      </c>
      <c r="J78" s="301">
        <v>5020.83</v>
      </c>
      <c r="K78" s="556">
        <v>127729.82</v>
      </c>
      <c r="L78" s="271" t="s">
        <v>652</v>
      </c>
      <c r="M78" s="615"/>
    </row>
    <row r="79" spans="1:13" s="9" customFormat="1" ht="32.25" customHeight="1" x14ac:dyDescent="0.2">
      <c r="A79" s="542">
        <v>13</v>
      </c>
      <c r="B79" s="60" t="s">
        <v>595</v>
      </c>
      <c r="C79" s="361">
        <f>SUM(C80:C82)</f>
        <v>81960.679999999993</v>
      </c>
      <c r="D79" s="13">
        <f>E79+F79+G79</f>
        <v>81960.679999999993</v>
      </c>
      <c r="E79" s="44">
        <f>SUM(E80:E82)</f>
        <v>71482.8266688</v>
      </c>
      <c r="F79" s="44">
        <f>SUM(F80:F82)</f>
        <v>4098.0339999999997</v>
      </c>
      <c r="G79" s="297">
        <f>SUM(G80:G82)</f>
        <v>6379.819331199993</v>
      </c>
      <c r="H79" s="13">
        <f>I79+J79+K79</f>
        <v>81960.679999999993</v>
      </c>
      <c r="I79" s="44">
        <f>SUM(I80:I82)</f>
        <v>71482.83</v>
      </c>
      <c r="J79" s="44">
        <f>SUM(J80:J82)</f>
        <v>4098.03</v>
      </c>
      <c r="K79" s="510">
        <f>SUM(K80:K82)</f>
        <v>6379.82</v>
      </c>
      <c r="L79" s="35"/>
      <c r="M79" s="616"/>
    </row>
    <row r="80" spans="1:13" outlineLevel="1" x14ac:dyDescent="0.25">
      <c r="A80" s="10"/>
      <c r="B80" s="43" t="s">
        <v>555</v>
      </c>
      <c r="C80" s="362"/>
      <c r="D80" s="29"/>
      <c r="E80" s="12"/>
      <c r="F80" s="12"/>
      <c r="G80" s="16"/>
      <c r="H80" s="29"/>
      <c r="I80" s="12"/>
      <c r="J80" s="12"/>
      <c r="K80" s="65"/>
      <c r="L80" s="28"/>
      <c r="M80" s="601"/>
    </row>
    <row r="81" spans="1:13" outlineLevel="1" x14ac:dyDescent="0.25">
      <c r="A81" s="10"/>
      <c r="B81" s="43" t="s">
        <v>554</v>
      </c>
      <c r="C81" s="362"/>
      <c r="D81" s="29"/>
      <c r="E81" s="12"/>
      <c r="F81" s="12"/>
      <c r="G81" s="16"/>
      <c r="H81" s="29"/>
      <c r="I81" s="12"/>
      <c r="J81" s="12"/>
      <c r="K81" s="65"/>
      <c r="L81" s="28"/>
      <c r="M81" s="601"/>
    </row>
    <row r="82" spans="1:13" s="91" customFormat="1" outlineLevel="1" x14ac:dyDescent="0.25">
      <c r="A82" s="260"/>
      <c r="B82" s="261" t="s">
        <v>67</v>
      </c>
      <c r="C82" s="363">
        <v>81960.679999999993</v>
      </c>
      <c r="D82" s="300">
        <f>E82+F82+G82</f>
        <v>81960.679999999993</v>
      </c>
      <c r="E82" s="301">
        <f>C82*0.87216</f>
        <v>71482.8266688</v>
      </c>
      <c r="F82" s="301">
        <f>C82*0.05</f>
        <v>4098.0339999999997</v>
      </c>
      <c r="G82" s="248">
        <f>C82-E82-F82</f>
        <v>6379.819331199993</v>
      </c>
      <c r="H82" s="300">
        <f>I82+J82+K82</f>
        <v>81960.679999999993</v>
      </c>
      <c r="I82" s="301">
        <v>71482.83</v>
      </c>
      <c r="J82" s="301">
        <v>4098.03</v>
      </c>
      <c r="K82" s="556">
        <v>6379.82</v>
      </c>
      <c r="L82" s="271" t="s">
        <v>745</v>
      </c>
      <c r="M82" s="615"/>
    </row>
    <row r="83" spans="1:13" s="9" customFormat="1" ht="35.25" customHeight="1" x14ac:dyDescent="0.2">
      <c r="A83" s="542">
        <v>14</v>
      </c>
      <c r="B83" s="60" t="s">
        <v>38</v>
      </c>
      <c r="C83" s="361">
        <f>SUM(C84:C88)</f>
        <v>233307.35</v>
      </c>
      <c r="D83" s="13">
        <f>E83+F83+G83</f>
        <v>233307.35</v>
      </c>
      <c r="E83" s="44">
        <f>SUM(E84:E88)</f>
        <v>171620.88666000002</v>
      </c>
      <c r="F83" s="44">
        <f>SUM(F84:F88)</f>
        <v>2333.0735</v>
      </c>
      <c r="G83" s="297">
        <f>SUM(G84:G88)</f>
        <v>59353.389839999989</v>
      </c>
      <c r="H83" s="13">
        <f>I83+J83+K83</f>
        <v>233307.35000000003</v>
      </c>
      <c r="I83" s="44">
        <f>SUM(I84:I88)</f>
        <v>171620.89</v>
      </c>
      <c r="J83" s="44">
        <f>SUM(J84:J88)</f>
        <v>2333.0700000000002</v>
      </c>
      <c r="K83" s="510">
        <f>SUM(K84:K88)</f>
        <v>59353.39</v>
      </c>
      <c r="L83" s="35"/>
      <c r="M83" s="616"/>
    </row>
    <row r="84" spans="1:13" outlineLevel="1" x14ac:dyDescent="0.25">
      <c r="A84" s="10"/>
      <c r="B84" s="43" t="s">
        <v>64</v>
      </c>
      <c r="C84" s="362"/>
      <c r="D84" s="29"/>
      <c r="E84" s="12"/>
      <c r="F84" s="12"/>
      <c r="G84" s="16"/>
      <c r="H84" s="29"/>
      <c r="I84" s="12"/>
      <c r="J84" s="12"/>
      <c r="K84" s="65"/>
      <c r="L84" s="28"/>
      <c r="M84" s="601"/>
    </row>
    <row r="85" spans="1:13" outlineLevel="1" x14ac:dyDescent="0.25">
      <c r="A85" s="10"/>
      <c r="B85" s="43" t="s">
        <v>65</v>
      </c>
      <c r="C85" s="362"/>
      <c r="D85" s="29"/>
      <c r="E85" s="12"/>
      <c r="F85" s="12"/>
      <c r="G85" s="16"/>
      <c r="H85" s="29"/>
      <c r="I85" s="12"/>
      <c r="J85" s="12"/>
      <c r="K85" s="65"/>
      <c r="L85" s="28"/>
      <c r="M85" s="601"/>
    </row>
    <row r="86" spans="1:13" outlineLevel="1" x14ac:dyDescent="0.25">
      <c r="A86" s="10"/>
      <c r="B86" s="43" t="s">
        <v>66</v>
      </c>
      <c r="C86" s="362"/>
      <c r="D86" s="29"/>
      <c r="E86" s="12"/>
      <c r="F86" s="12"/>
      <c r="G86" s="16"/>
      <c r="H86" s="29"/>
      <c r="I86" s="12"/>
      <c r="J86" s="12"/>
      <c r="K86" s="65"/>
      <c r="L86" s="28"/>
      <c r="M86" s="601"/>
    </row>
    <row r="87" spans="1:13" outlineLevel="1" x14ac:dyDescent="0.25">
      <c r="A87" s="10"/>
      <c r="B87" s="43" t="s">
        <v>554</v>
      </c>
      <c r="C87" s="362"/>
      <c r="D87" s="29"/>
      <c r="E87" s="12"/>
      <c r="F87" s="12"/>
      <c r="G87" s="16"/>
      <c r="H87" s="29"/>
      <c r="I87" s="12"/>
      <c r="J87" s="12"/>
      <c r="K87" s="65"/>
      <c r="L87" s="28"/>
      <c r="M87" s="601"/>
    </row>
    <row r="88" spans="1:13" s="91" customFormat="1" outlineLevel="1" x14ac:dyDescent="0.25">
      <c r="A88" s="260"/>
      <c r="B88" s="261" t="s">
        <v>67</v>
      </c>
      <c r="C88" s="363">
        <v>233307.35</v>
      </c>
      <c r="D88" s="300">
        <f>SUM(E88:G88)</f>
        <v>233307.35</v>
      </c>
      <c r="E88" s="301">
        <f>C88*0.7356</f>
        <v>171620.88666000002</v>
      </c>
      <c r="F88" s="301">
        <f>C88*1%</f>
        <v>2333.0735</v>
      </c>
      <c r="G88" s="248">
        <f>C88-E88-F88</f>
        <v>59353.389839999989</v>
      </c>
      <c r="H88" s="300">
        <f>I88+J88+K88</f>
        <v>233307.35000000003</v>
      </c>
      <c r="I88" s="301">
        <v>171620.89</v>
      </c>
      <c r="J88" s="301">
        <v>2333.0700000000002</v>
      </c>
      <c r="K88" s="556">
        <v>59353.39</v>
      </c>
      <c r="L88" s="271" t="s">
        <v>652</v>
      </c>
      <c r="M88" s="615"/>
    </row>
    <row r="89" spans="1:13" s="9" customFormat="1" ht="39.75" customHeight="1" x14ac:dyDescent="0.2">
      <c r="A89" s="542">
        <v>15</v>
      </c>
      <c r="B89" s="60" t="s">
        <v>39</v>
      </c>
      <c r="C89" s="361">
        <f>SUM(C90:C92)</f>
        <v>85053.94</v>
      </c>
      <c r="D89" s="13">
        <f>E89+F89+G89</f>
        <v>85053.94</v>
      </c>
      <c r="E89" s="44">
        <f>SUM(E90:E92)</f>
        <v>74180.644310400006</v>
      </c>
      <c r="F89" s="44">
        <f>SUM(F90:F92)</f>
        <v>4252.6970000000001</v>
      </c>
      <c r="G89" s="297">
        <f>SUM(G90:G92)</f>
        <v>6620.5986895999959</v>
      </c>
      <c r="H89" s="13">
        <f>I89+J89+K89</f>
        <v>85053.94</v>
      </c>
      <c r="I89" s="44">
        <f>SUM(I90:I92)</f>
        <v>74180.639999999999</v>
      </c>
      <c r="J89" s="44">
        <f>SUM(J90:J92)</f>
        <v>4252.7</v>
      </c>
      <c r="K89" s="510">
        <f>SUM(K90:K92)</f>
        <v>6620.6</v>
      </c>
      <c r="L89" s="35"/>
      <c r="M89" s="616"/>
    </row>
    <row r="90" spans="1:13" outlineLevel="1" x14ac:dyDescent="0.25">
      <c r="A90" s="10"/>
      <c r="B90" s="43" t="s">
        <v>557</v>
      </c>
      <c r="C90" s="362"/>
      <c r="D90" s="29"/>
      <c r="E90" s="12"/>
      <c r="F90" s="12"/>
      <c r="G90" s="16"/>
      <c r="H90" s="29"/>
      <c r="I90" s="12"/>
      <c r="J90" s="12"/>
      <c r="K90" s="65"/>
      <c r="L90" s="28"/>
      <c r="M90" s="601"/>
    </row>
    <row r="91" spans="1:13" outlineLevel="1" x14ac:dyDescent="0.25">
      <c r="A91" s="10"/>
      <c r="B91" s="43" t="s">
        <v>554</v>
      </c>
      <c r="C91" s="362"/>
      <c r="D91" s="29"/>
      <c r="E91" s="12"/>
      <c r="F91" s="12"/>
      <c r="G91" s="16"/>
      <c r="H91" s="29"/>
      <c r="I91" s="12"/>
      <c r="J91" s="12"/>
      <c r="K91" s="65"/>
      <c r="L91" s="28"/>
      <c r="M91" s="601"/>
    </row>
    <row r="92" spans="1:13" s="91" customFormat="1" outlineLevel="1" x14ac:dyDescent="0.25">
      <c r="A92" s="260"/>
      <c r="B92" s="261" t="s">
        <v>67</v>
      </c>
      <c r="C92" s="363">
        <v>85053.94</v>
      </c>
      <c r="D92" s="300">
        <f>E92+F92+G92</f>
        <v>85053.94</v>
      </c>
      <c r="E92" s="301">
        <f>C92*0.87216</f>
        <v>74180.644310400006</v>
      </c>
      <c r="F92" s="301">
        <f>C92*0.05</f>
        <v>4252.6970000000001</v>
      </c>
      <c r="G92" s="248">
        <f>C92-E92-F92</f>
        <v>6620.5986895999959</v>
      </c>
      <c r="H92" s="300">
        <f>I92+J92+K92</f>
        <v>85053.94</v>
      </c>
      <c r="I92" s="301">
        <v>74180.639999999999</v>
      </c>
      <c r="J92" s="301">
        <v>4252.7</v>
      </c>
      <c r="K92" s="556">
        <v>6620.6</v>
      </c>
      <c r="L92" s="271" t="s">
        <v>745</v>
      </c>
      <c r="M92" s="615"/>
    </row>
    <row r="93" spans="1:13" s="9" customFormat="1" ht="23.25" customHeight="1" x14ac:dyDescent="0.2">
      <c r="A93" s="542">
        <v>16</v>
      </c>
      <c r="B93" s="60" t="s">
        <v>40</v>
      </c>
      <c r="C93" s="361">
        <f>SUM(C94:C100)</f>
        <v>353361.19</v>
      </c>
      <c r="D93" s="13">
        <f>E93+F93+G93</f>
        <v>353361.19</v>
      </c>
      <c r="E93" s="44">
        <f>SUM(E94:E100)</f>
        <v>272978.91893280001</v>
      </c>
      <c r="F93" s="44">
        <f t="shared" ref="F93:G93" si="3">SUM(F94:F100)</f>
        <v>7355.0610999999999</v>
      </c>
      <c r="G93" s="44">
        <f t="shared" si="3"/>
        <v>73027.209967199989</v>
      </c>
      <c r="H93" s="13">
        <f>I93+J93+K93</f>
        <v>353361.19000000006</v>
      </c>
      <c r="I93" s="44">
        <f>SUM(I94:I100)</f>
        <v>272978.92000000004</v>
      </c>
      <c r="J93" s="44">
        <f>SUM(J94:J100)</f>
        <v>7355.06</v>
      </c>
      <c r="K93" s="44">
        <f>SUM(K94:K100)</f>
        <v>73027.209999999992</v>
      </c>
      <c r="L93" s="35"/>
      <c r="M93" s="616"/>
    </row>
    <row r="94" spans="1:13" outlineLevel="1" x14ac:dyDescent="0.25">
      <c r="A94" s="10"/>
      <c r="B94" s="43" t="s">
        <v>64</v>
      </c>
      <c r="C94" s="362"/>
      <c r="D94" s="29"/>
      <c r="E94" s="12"/>
      <c r="F94" s="12"/>
      <c r="G94" s="16"/>
      <c r="H94" s="29"/>
      <c r="I94" s="12"/>
      <c r="J94" s="12"/>
      <c r="K94" s="65"/>
      <c r="L94" s="28"/>
      <c r="M94" s="601"/>
    </row>
    <row r="95" spans="1:13" outlineLevel="1" x14ac:dyDescent="0.25">
      <c r="A95" s="10"/>
      <c r="B95" s="43" t="s">
        <v>65</v>
      </c>
      <c r="C95" s="362"/>
      <c r="D95" s="29"/>
      <c r="E95" s="12"/>
      <c r="F95" s="12"/>
      <c r="G95" s="16"/>
      <c r="H95" s="29"/>
      <c r="I95" s="12"/>
      <c r="J95" s="12"/>
      <c r="K95" s="65"/>
      <c r="L95" s="28"/>
      <c r="M95" s="601"/>
    </row>
    <row r="96" spans="1:13" outlineLevel="1" x14ac:dyDescent="0.25">
      <c r="A96" s="10"/>
      <c r="B96" s="43" t="s">
        <v>66</v>
      </c>
      <c r="C96" s="362"/>
      <c r="D96" s="29"/>
      <c r="E96" s="12"/>
      <c r="F96" s="12"/>
      <c r="G96" s="16"/>
      <c r="H96" s="29"/>
      <c r="I96" s="12"/>
      <c r="J96" s="12"/>
      <c r="K96" s="65"/>
      <c r="L96" s="28"/>
      <c r="M96" s="601"/>
    </row>
    <row r="97" spans="1:13" outlineLevel="1" x14ac:dyDescent="0.25">
      <c r="A97" s="10"/>
      <c r="B97" s="43" t="s">
        <v>557</v>
      </c>
      <c r="C97" s="362"/>
      <c r="D97" s="29"/>
      <c r="E97" s="12"/>
      <c r="F97" s="12"/>
      <c r="G97" s="16"/>
      <c r="H97" s="29"/>
      <c r="I97" s="12"/>
      <c r="J97" s="12"/>
      <c r="K97" s="65"/>
      <c r="L97" s="28"/>
      <c r="M97" s="601"/>
    </row>
    <row r="98" spans="1:13" outlineLevel="1" x14ac:dyDescent="0.25">
      <c r="A98" s="10"/>
      <c r="B98" s="43" t="s">
        <v>554</v>
      </c>
      <c r="C98" s="362"/>
      <c r="D98" s="29"/>
      <c r="E98" s="12"/>
      <c r="F98" s="12"/>
      <c r="G98" s="16"/>
      <c r="H98" s="29"/>
      <c r="I98" s="12"/>
      <c r="J98" s="12"/>
      <c r="K98" s="65"/>
      <c r="L98" s="28"/>
      <c r="M98" s="601"/>
    </row>
    <row r="99" spans="1:13" s="91" customFormat="1" outlineLevel="1" x14ac:dyDescent="0.25">
      <c r="A99" s="260"/>
      <c r="B99" s="261" t="s">
        <v>67</v>
      </c>
      <c r="C99" s="363">
        <v>257824.96</v>
      </c>
      <c r="D99" s="300">
        <f>SUM(E99:G99)</f>
        <v>257824.96000000002</v>
      </c>
      <c r="E99" s="301">
        <f>C99*0.7356</f>
        <v>189656.040576</v>
      </c>
      <c r="F99" s="301">
        <f>C99*1%</f>
        <v>2578.2496000000001</v>
      </c>
      <c r="G99" s="248">
        <f>C99-E99-F99</f>
        <v>65590.669823999997</v>
      </c>
      <c r="H99" s="300">
        <f>I99+J99+K99</f>
        <v>257824.96000000002</v>
      </c>
      <c r="I99" s="301">
        <v>189656.04</v>
      </c>
      <c r="J99" s="301">
        <v>2578.25</v>
      </c>
      <c r="K99" s="556">
        <v>65590.67</v>
      </c>
      <c r="L99" s="271" t="s">
        <v>652</v>
      </c>
      <c r="M99" s="615"/>
    </row>
    <row r="100" spans="1:13" s="91" customFormat="1" outlineLevel="1" x14ac:dyDescent="0.25">
      <c r="A100" s="260"/>
      <c r="B100" s="261" t="s">
        <v>67</v>
      </c>
      <c r="C100" s="363">
        <v>95536.23</v>
      </c>
      <c r="D100" s="300">
        <f>E100+F100+G100</f>
        <v>95536.23</v>
      </c>
      <c r="E100" s="301">
        <f>C100*0.87216</f>
        <v>83322.878356800007</v>
      </c>
      <c r="F100" s="301">
        <f>C100*0.05</f>
        <v>4776.8114999999998</v>
      </c>
      <c r="G100" s="248">
        <f>C100-E100-F100</f>
        <v>7436.540143199989</v>
      </c>
      <c r="H100" s="300">
        <f>I100+J100+K100</f>
        <v>95536.23</v>
      </c>
      <c r="I100" s="301">
        <v>83322.880000000005</v>
      </c>
      <c r="J100" s="301">
        <v>4776.8100000000004</v>
      </c>
      <c r="K100" s="556">
        <v>7436.54</v>
      </c>
      <c r="L100" s="271" t="s">
        <v>745</v>
      </c>
      <c r="M100" s="615"/>
    </row>
    <row r="101" spans="1:13" s="9" customFormat="1" ht="26.25" customHeight="1" x14ac:dyDescent="0.2">
      <c r="A101" s="542">
        <v>17</v>
      </c>
      <c r="B101" s="60" t="s">
        <v>343</v>
      </c>
      <c r="C101" s="361">
        <f>SUM(C102:C104)</f>
        <v>95536.23</v>
      </c>
      <c r="D101" s="13">
        <f>E101+F101+G101</f>
        <v>95536.23</v>
      </c>
      <c r="E101" s="44">
        <f>SUM(E102:E104)</f>
        <v>83322.878356800007</v>
      </c>
      <c r="F101" s="44">
        <f>SUM(F102:F104)</f>
        <v>4776.8114999999998</v>
      </c>
      <c r="G101" s="297">
        <f>SUM(G102:G104)</f>
        <v>7436.540143199989</v>
      </c>
      <c r="H101" s="13">
        <f>I101+J101+K101</f>
        <v>95536.23</v>
      </c>
      <c r="I101" s="44">
        <f>SUM(I102:I104)</f>
        <v>83322.880000000005</v>
      </c>
      <c r="J101" s="44">
        <f>SUM(J102:J104)</f>
        <v>4776.8100000000004</v>
      </c>
      <c r="K101" s="510">
        <f>SUM(K102:K104)</f>
        <v>7436.54</v>
      </c>
      <c r="L101" s="35"/>
      <c r="M101" s="616"/>
    </row>
    <row r="102" spans="1:13" outlineLevel="1" x14ac:dyDescent="0.25">
      <c r="A102" s="10"/>
      <c r="B102" s="43" t="s">
        <v>557</v>
      </c>
      <c r="C102" s="362"/>
      <c r="D102" s="29"/>
      <c r="E102" s="12"/>
      <c r="F102" s="12"/>
      <c r="G102" s="16"/>
      <c r="H102" s="29"/>
      <c r="I102" s="12"/>
      <c r="J102" s="12"/>
      <c r="K102" s="65"/>
      <c r="L102" s="28"/>
      <c r="M102" s="601"/>
    </row>
    <row r="103" spans="1:13" outlineLevel="1" x14ac:dyDescent="0.25">
      <c r="A103" s="10"/>
      <c r="B103" s="43" t="s">
        <v>554</v>
      </c>
      <c r="C103" s="362"/>
      <c r="D103" s="29"/>
      <c r="E103" s="12"/>
      <c r="F103" s="12"/>
      <c r="G103" s="16"/>
      <c r="H103" s="29"/>
      <c r="I103" s="12"/>
      <c r="J103" s="12"/>
      <c r="K103" s="65"/>
      <c r="L103" s="28"/>
      <c r="M103" s="601"/>
    </row>
    <row r="104" spans="1:13" s="91" customFormat="1" outlineLevel="1" x14ac:dyDescent="0.25">
      <c r="A104" s="260"/>
      <c r="B104" s="261" t="s">
        <v>67</v>
      </c>
      <c r="C104" s="363">
        <v>95536.23</v>
      </c>
      <c r="D104" s="300">
        <f>E104+F104+G104</f>
        <v>95536.23</v>
      </c>
      <c r="E104" s="301">
        <f>C104*0.87216</f>
        <v>83322.878356800007</v>
      </c>
      <c r="F104" s="301">
        <f>C104*0.05</f>
        <v>4776.8114999999998</v>
      </c>
      <c r="G104" s="248">
        <f>C104-E104-F104</f>
        <v>7436.540143199989</v>
      </c>
      <c r="H104" s="300">
        <f>I104+J104+K104</f>
        <v>95536.23</v>
      </c>
      <c r="I104" s="301">
        <v>83322.880000000005</v>
      </c>
      <c r="J104" s="301">
        <v>4776.8100000000004</v>
      </c>
      <c r="K104" s="556">
        <v>7436.54</v>
      </c>
      <c r="L104" s="271" t="s">
        <v>745</v>
      </c>
      <c r="M104" s="615"/>
    </row>
    <row r="105" spans="1:13" s="9" customFormat="1" ht="27.75" customHeight="1" x14ac:dyDescent="0.2">
      <c r="A105" s="542">
        <v>18</v>
      </c>
      <c r="B105" s="60" t="s">
        <v>41</v>
      </c>
      <c r="C105" s="361">
        <f>SUM(C106:C110)</f>
        <v>174032.17</v>
      </c>
      <c r="D105" s="13"/>
      <c r="E105" s="44">
        <f>SUM(E106:E110)</f>
        <v>128018.06425200001</v>
      </c>
      <c r="F105" s="44">
        <f>SUM(F106:F110)</f>
        <v>1740.3217000000002</v>
      </c>
      <c r="G105" s="297">
        <f>SUM(G106:G110)</f>
        <v>44273.784048000001</v>
      </c>
      <c r="H105" s="13">
        <f>I105+J105+K105</f>
        <v>174032.17</v>
      </c>
      <c r="I105" s="44">
        <f>SUM(I106:I110)</f>
        <v>128018.07</v>
      </c>
      <c r="J105" s="44">
        <f>SUM(J106:J110)</f>
        <v>1740.32</v>
      </c>
      <c r="K105" s="510">
        <f>SUM(K106:K110)</f>
        <v>44273.78</v>
      </c>
      <c r="L105" s="35"/>
      <c r="M105" s="616"/>
    </row>
    <row r="106" spans="1:13" outlineLevel="1" x14ac:dyDescent="0.25">
      <c r="A106" s="10"/>
      <c r="B106" s="43" t="s">
        <v>64</v>
      </c>
      <c r="C106" s="362"/>
      <c r="D106" s="29"/>
      <c r="E106" s="12"/>
      <c r="F106" s="12"/>
      <c r="G106" s="16"/>
      <c r="H106" s="29"/>
      <c r="I106" s="12"/>
      <c r="J106" s="12"/>
      <c r="K106" s="65"/>
      <c r="L106" s="28"/>
      <c r="M106" s="601"/>
    </row>
    <row r="107" spans="1:13" outlineLevel="1" x14ac:dyDescent="0.25">
      <c r="A107" s="10"/>
      <c r="B107" s="43" t="s">
        <v>65</v>
      </c>
      <c r="C107" s="362"/>
      <c r="D107" s="29"/>
      <c r="E107" s="12"/>
      <c r="F107" s="12"/>
      <c r="G107" s="16"/>
      <c r="H107" s="29"/>
      <c r="I107" s="12"/>
      <c r="J107" s="12"/>
      <c r="K107" s="65"/>
      <c r="L107" s="28"/>
      <c r="M107" s="601"/>
    </row>
    <row r="108" spans="1:13" outlineLevel="1" x14ac:dyDescent="0.25">
      <c r="A108" s="10"/>
      <c r="B108" s="43" t="s">
        <v>66</v>
      </c>
      <c r="C108" s="362"/>
      <c r="D108" s="29"/>
      <c r="E108" s="12"/>
      <c r="F108" s="12"/>
      <c r="G108" s="16"/>
      <c r="H108" s="29"/>
      <c r="I108" s="12"/>
      <c r="J108" s="12"/>
      <c r="K108" s="65"/>
      <c r="L108" s="28"/>
      <c r="M108" s="601"/>
    </row>
    <row r="109" spans="1:13" outlineLevel="1" x14ac:dyDescent="0.25">
      <c r="A109" s="10"/>
      <c r="B109" s="43" t="s">
        <v>554</v>
      </c>
      <c r="C109" s="362"/>
      <c r="D109" s="29"/>
      <c r="E109" s="12"/>
      <c r="F109" s="12"/>
      <c r="G109" s="16"/>
      <c r="H109" s="29"/>
      <c r="I109" s="12"/>
      <c r="J109" s="12"/>
      <c r="K109" s="65"/>
      <c r="L109" s="28"/>
      <c r="M109" s="601"/>
    </row>
    <row r="110" spans="1:13" s="91" customFormat="1" outlineLevel="1" x14ac:dyDescent="0.25">
      <c r="A110" s="260"/>
      <c r="B110" s="261" t="s">
        <v>67</v>
      </c>
      <c r="C110" s="363">
        <v>174032.17</v>
      </c>
      <c r="D110" s="300">
        <f>SUM(E110:G110)</f>
        <v>174032.17</v>
      </c>
      <c r="E110" s="301">
        <f>C110*0.7356</f>
        <v>128018.06425200001</v>
      </c>
      <c r="F110" s="301">
        <f>C110*1%</f>
        <v>1740.3217000000002</v>
      </c>
      <c r="G110" s="248">
        <f>C110-E110-F110</f>
        <v>44273.784048000001</v>
      </c>
      <c r="H110" s="300">
        <f>I110+J110+K110</f>
        <v>174032.17</v>
      </c>
      <c r="I110" s="301">
        <v>128018.07</v>
      </c>
      <c r="J110" s="301">
        <v>1740.32</v>
      </c>
      <c r="K110" s="556">
        <v>44273.78</v>
      </c>
      <c r="L110" s="271" t="s">
        <v>652</v>
      </c>
      <c r="M110" s="615"/>
    </row>
    <row r="111" spans="1:13" s="9" customFormat="1" ht="39" customHeight="1" x14ac:dyDescent="0.2">
      <c r="A111" s="542">
        <v>19</v>
      </c>
      <c r="B111" s="60" t="s">
        <v>42</v>
      </c>
      <c r="C111" s="361">
        <f>SUM(C112:C116)</f>
        <v>175957.52</v>
      </c>
      <c r="D111" s="13">
        <f>E111+F111+G111</f>
        <v>175957.52</v>
      </c>
      <c r="E111" s="44">
        <f>SUM(E112:E116)</f>
        <v>129434.351712</v>
      </c>
      <c r="F111" s="44">
        <f>SUM(F112:F116)</f>
        <v>1759.5752</v>
      </c>
      <c r="G111" s="297">
        <f>SUM(G112:G116)</f>
        <v>44763.593087999987</v>
      </c>
      <c r="H111" s="13">
        <f>I111+J111+K111</f>
        <v>175957.52</v>
      </c>
      <c r="I111" s="44">
        <f>SUM(I112:I116)</f>
        <v>129434.35</v>
      </c>
      <c r="J111" s="44">
        <f>SUM(J112:J116)</f>
        <v>1759.58</v>
      </c>
      <c r="K111" s="510">
        <f>SUM(K112:K116)</f>
        <v>44763.59</v>
      </c>
      <c r="L111" s="35"/>
      <c r="M111" s="616"/>
    </row>
    <row r="112" spans="1:13" outlineLevel="1" x14ac:dyDescent="0.25">
      <c r="A112" s="10"/>
      <c r="B112" s="43" t="s">
        <v>64</v>
      </c>
      <c r="C112" s="362"/>
      <c r="D112" s="29"/>
      <c r="E112" s="12"/>
      <c r="F112" s="12"/>
      <c r="G112" s="16"/>
      <c r="H112" s="29"/>
      <c r="I112" s="12"/>
      <c r="J112" s="12"/>
      <c r="K112" s="65"/>
      <c r="L112" s="28"/>
      <c r="M112" s="601"/>
    </row>
    <row r="113" spans="1:13" outlineLevel="1" x14ac:dyDescent="0.25">
      <c r="A113" s="10"/>
      <c r="B113" s="43" t="s">
        <v>65</v>
      </c>
      <c r="C113" s="362"/>
      <c r="D113" s="29"/>
      <c r="E113" s="12"/>
      <c r="F113" s="12"/>
      <c r="G113" s="16"/>
      <c r="H113" s="29"/>
      <c r="I113" s="12"/>
      <c r="J113" s="12"/>
      <c r="K113" s="65"/>
      <c r="L113" s="28"/>
      <c r="M113" s="601"/>
    </row>
    <row r="114" spans="1:13" outlineLevel="1" x14ac:dyDescent="0.25">
      <c r="A114" s="10"/>
      <c r="B114" s="43" t="s">
        <v>66</v>
      </c>
      <c r="C114" s="362"/>
      <c r="D114" s="29"/>
      <c r="E114" s="12"/>
      <c r="F114" s="12"/>
      <c r="G114" s="16"/>
      <c r="H114" s="29"/>
      <c r="I114" s="12"/>
      <c r="J114" s="12"/>
      <c r="K114" s="65"/>
      <c r="L114" s="28"/>
      <c r="M114" s="601"/>
    </row>
    <row r="115" spans="1:13" outlineLevel="1" x14ac:dyDescent="0.25">
      <c r="A115" s="10"/>
      <c r="B115" s="43" t="s">
        <v>554</v>
      </c>
      <c r="C115" s="362"/>
      <c r="D115" s="29"/>
      <c r="E115" s="12"/>
      <c r="F115" s="12"/>
      <c r="G115" s="16"/>
      <c r="H115" s="29"/>
      <c r="I115" s="12"/>
      <c r="J115" s="12"/>
      <c r="K115" s="65"/>
      <c r="L115" s="28"/>
      <c r="M115" s="601"/>
    </row>
    <row r="116" spans="1:13" s="91" customFormat="1" outlineLevel="1" x14ac:dyDescent="0.25">
      <c r="A116" s="260"/>
      <c r="B116" s="261" t="s">
        <v>67</v>
      </c>
      <c r="C116" s="363">
        <v>175957.52</v>
      </c>
      <c r="D116" s="300">
        <f>SUM(E116:G116)</f>
        <v>175957.52</v>
      </c>
      <c r="E116" s="301">
        <f>C116*0.7356</f>
        <v>129434.351712</v>
      </c>
      <c r="F116" s="301">
        <f>C116*1%</f>
        <v>1759.5752</v>
      </c>
      <c r="G116" s="248">
        <f>C116-E116-F116</f>
        <v>44763.593087999987</v>
      </c>
      <c r="H116" s="300">
        <f>I116+J116+K116</f>
        <v>175957.52</v>
      </c>
      <c r="I116" s="301">
        <v>129434.35</v>
      </c>
      <c r="J116" s="301">
        <v>1759.58</v>
      </c>
      <c r="K116" s="556">
        <v>44763.59</v>
      </c>
      <c r="L116" s="271" t="s">
        <v>652</v>
      </c>
      <c r="M116" s="615"/>
    </row>
    <row r="117" spans="1:13" s="9" customFormat="1" ht="29.25" customHeight="1" x14ac:dyDescent="0.2">
      <c r="A117" s="542">
        <v>20</v>
      </c>
      <c r="B117" s="60" t="s">
        <v>43</v>
      </c>
      <c r="C117" s="361">
        <f>SUM(C118:C120)</f>
        <v>67961.45</v>
      </c>
      <c r="D117" s="13">
        <f>E117+F117+G117</f>
        <v>67961.45</v>
      </c>
      <c r="E117" s="44">
        <f>SUM(E118:E120)</f>
        <v>49992.442620000002</v>
      </c>
      <c r="F117" s="44">
        <f>SUM(F118:F120)</f>
        <v>679.61450000000002</v>
      </c>
      <c r="G117" s="297">
        <f>SUM(G118:G120)</f>
        <v>17289.392879999996</v>
      </c>
      <c r="H117" s="13">
        <f>I117+J117+K117</f>
        <v>67961.45</v>
      </c>
      <c r="I117" s="44">
        <f>SUM(I118:I120)</f>
        <v>49992.45</v>
      </c>
      <c r="J117" s="44">
        <f>SUM(J118:J120)</f>
        <v>679.61</v>
      </c>
      <c r="K117" s="510">
        <f>SUM(K118:K120)</f>
        <v>17289.39</v>
      </c>
      <c r="L117" s="35"/>
      <c r="M117" s="616"/>
    </row>
    <row r="118" spans="1:13" outlineLevel="1" x14ac:dyDescent="0.25">
      <c r="A118" s="10"/>
      <c r="B118" s="43" t="s">
        <v>68</v>
      </c>
      <c r="C118" s="362"/>
      <c r="D118" s="29"/>
      <c r="E118" s="12"/>
      <c r="F118" s="12"/>
      <c r="G118" s="16"/>
      <c r="H118" s="29"/>
      <c r="I118" s="12"/>
      <c r="J118" s="12"/>
      <c r="K118" s="65"/>
      <c r="L118" s="28"/>
      <c r="M118" s="601"/>
    </row>
    <row r="119" spans="1:13" outlineLevel="1" x14ac:dyDescent="0.25">
      <c r="A119" s="10"/>
      <c r="B119" s="43" t="s">
        <v>554</v>
      </c>
      <c r="C119" s="362"/>
      <c r="D119" s="29"/>
      <c r="E119" s="12"/>
      <c r="F119" s="12"/>
      <c r="G119" s="16"/>
      <c r="H119" s="29"/>
      <c r="I119" s="12"/>
      <c r="J119" s="12"/>
      <c r="K119" s="65"/>
      <c r="L119" s="28"/>
      <c r="M119" s="601"/>
    </row>
    <row r="120" spans="1:13" s="91" customFormat="1" outlineLevel="1" x14ac:dyDescent="0.25">
      <c r="A120" s="260"/>
      <c r="B120" s="261" t="s">
        <v>67</v>
      </c>
      <c r="C120" s="363">
        <v>67961.45</v>
      </c>
      <c r="D120" s="300">
        <f>SUM(E120:G120)</f>
        <v>67961.45</v>
      </c>
      <c r="E120" s="301">
        <f>C120*0.7356</f>
        <v>49992.442620000002</v>
      </c>
      <c r="F120" s="301">
        <f>C120*1%</f>
        <v>679.61450000000002</v>
      </c>
      <c r="G120" s="248">
        <f>C120-E120-F120</f>
        <v>17289.392879999996</v>
      </c>
      <c r="H120" s="300">
        <f>I120+J120+K120</f>
        <v>67961.45</v>
      </c>
      <c r="I120" s="301">
        <v>49992.45</v>
      </c>
      <c r="J120" s="301">
        <v>679.61</v>
      </c>
      <c r="K120" s="556">
        <v>17289.39</v>
      </c>
      <c r="L120" s="271" t="s">
        <v>652</v>
      </c>
      <c r="M120" s="615"/>
    </row>
    <row r="121" spans="1:13" s="395" customFormat="1" ht="33" customHeight="1" x14ac:dyDescent="0.2">
      <c r="A121" s="391">
        <v>21</v>
      </c>
      <c r="B121" s="392" t="s">
        <v>344</v>
      </c>
      <c r="C121" s="674">
        <f>SUM(C122:C123)</f>
        <v>2533424.56</v>
      </c>
      <c r="D121" s="393">
        <f>E121+F121+G121</f>
        <v>2533424.5599999996</v>
      </c>
      <c r="E121" s="401">
        <f>SUM(E122:E123)</f>
        <v>1971637.6556336</v>
      </c>
      <c r="F121" s="401">
        <f>SUM(F122:F123)</f>
        <v>25334.245500000001</v>
      </c>
      <c r="G121" s="402">
        <f>SUM(G122:G123)</f>
        <v>536452.6588663999</v>
      </c>
      <c r="H121" s="393">
        <f>I121+J121+K121</f>
        <v>2533424.56</v>
      </c>
      <c r="I121" s="401">
        <f>SUM(I122:I123)</f>
        <v>1971637.66</v>
      </c>
      <c r="J121" s="401">
        <f>SUM(J122:J123)</f>
        <v>126671.23</v>
      </c>
      <c r="K121" s="621">
        <f>SUM(K122:K123)</f>
        <v>435115.67</v>
      </c>
      <c r="L121" s="400"/>
      <c r="M121" s="614"/>
    </row>
    <row r="122" spans="1:13" s="91" customFormat="1" outlineLevel="1" x14ac:dyDescent="0.25">
      <c r="A122" s="260"/>
      <c r="B122" s="261" t="s">
        <v>555</v>
      </c>
      <c r="C122" s="363">
        <v>2446133.85</v>
      </c>
      <c r="D122" s="300">
        <f>E122+F122+G122</f>
        <v>2446133.8499999996</v>
      </c>
      <c r="E122" s="301">
        <v>1895506.19</v>
      </c>
      <c r="F122" s="301">
        <v>20969.71</v>
      </c>
      <c r="G122" s="248">
        <v>529657.94999999995</v>
      </c>
      <c r="H122" s="300">
        <f>SUM(I122:K122)</f>
        <v>2446133.8499999996</v>
      </c>
      <c r="I122" s="684">
        <v>1895506.19</v>
      </c>
      <c r="J122" s="684">
        <v>122306.69</v>
      </c>
      <c r="K122" s="685">
        <v>428320.97</v>
      </c>
      <c r="L122" s="271" t="s">
        <v>835</v>
      </c>
      <c r="M122" s="619">
        <v>42628</v>
      </c>
    </row>
    <row r="123" spans="1:13" s="91" customFormat="1" outlineLevel="1" x14ac:dyDescent="0.25">
      <c r="A123" s="260"/>
      <c r="B123" s="261" t="s">
        <v>67</v>
      </c>
      <c r="C123" s="363">
        <v>87290.71</v>
      </c>
      <c r="D123" s="300">
        <f>E123+F123+G123</f>
        <v>87290.71</v>
      </c>
      <c r="E123" s="301">
        <f>C123*0.87216</f>
        <v>76131.465633600004</v>
      </c>
      <c r="F123" s="301">
        <f>C123*0.05</f>
        <v>4364.5355000000009</v>
      </c>
      <c r="G123" s="248">
        <f>C123-E123-F123</f>
        <v>6794.7088664000012</v>
      </c>
      <c r="H123" s="300">
        <f>I123+J123+K123</f>
        <v>87290.709999999992</v>
      </c>
      <c r="I123" s="301">
        <v>76131.47</v>
      </c>
      <c r="J123" s="301">
        <v>4364.54</v>
      </c>
      <c r="K123" s="556">
        <v>6794.7</v>
      </c>
      <c r="L123" s="271" t="s">
        <v>745</v>
      </c>
      <c r="M123" s="615"/>
    </row>
    <row r="124" spans="1:13" s="9" customFormat="1" ht="35.25" customHeight="1" thickBot="1" x14ac:dyDescent="0.25">
      <c r="A124" s="126">
        <v>22</v>
      </c>
      <c r="B124" s="183" t="s">
        <v>556</v>
      </c>
      <c r="C124" s="176"/>
      <c r="D124" s="17"/>
      <c r="E124" s="18"/>
      <c r="F124" s="18"/>
      <c r="G124" s="19"/>
      <c r="H124" s="17"/>
      <c r="I124" s="18"/>
      <c r="J124" s="18"/>
      <c r="K124" s="522"/>
      <c r="L124" s="185"/>
      <c r="M124" s="616"/>
    </row>
    <row r="125" spans="1:13" ht="15.75" customHeight="1" x14ac:dyDescent="0.25"/>
    <row r="126" spans="1:13" ht="15.75" thickBot="1" x14ac:dyDescent="0.3"/>
    <row r="127" spans="1:13" x14ac:dyDescent="0.25">
      <c r="B127" s="276" t="s">
        <v>68</v>
      </c>
      <c r="C127" s="279">
        <f t="shared" ref="C127:K127" si="4">C25+C33+C42+C51+C60+C72+C118</f>
        <v>0</v>
      </c>
      <c r="D127" s="279">
        <f t="shared" si="4"/>
        <v>0</v>
      </c>
      <c r="E127" s="279">
        <f t="shared" si="4"/>
        <v>0</v>
      </c>
      <c r="F127" s="279">
        <f t="shared" si="4"/>
        <v>0</v>
      </c>
      <c r="G127" s="279">
        <f t="shared" si="4"/>
        <v>0</v>
      </c>
      <c r="H127" s="279">
        <f t="shared" si="4"/>
        <v>0</v>
      </c>
      <c r="I127" s="279">
        <f t="shared" si="4"/>
        <v>0</v>
      </c>
      <c r="J127" s="279">
        <f t="shared" si="4"/>
        <v>0</v>
      </c>
      <c r="K127" s="279">
        <f t="shared" si="4"/>
        <v>0</v>
      </c>
    </row>
    <row r="128" spans="1:13" x14ac:dyDescent="0.25">
      <c r="B128" s="278" t="s">
        <v>64</v>
      </c>
      <c r="C128" s="294">
        <f t="shared" ref="C128:K128" si="5">C26+C34+C43+C52+C73+C84+C94+C106+C112</f>
        <v>0</v>
      </c>
      <c r="D128" s="294">
        <f t="shared" si="5"/>
        <v>0</v>
      </c>
      <c r="E128" s="294">
        <f t="shared" si="5"/>
        <v>0</v>
      </c>
      <c r="F128" s="294">
        <f t="shared" si="5"/>
        <v>0</v>
      </c>
      <c r="G128" s="294">
        <f t="shared" si="5"/>
        <v>0</v>
      </c>
      <c r="H128" s="294">
        <f t="shared" si="5"/>
        <v>0</v>
      </c>
      <c r="I128" s="294">
        <f t="shared" si="5"/>
        <v>0</v>
      </c>
      <c r="J128" s="294">
        <f t="shared" si="5"/>
        <v>0</v>
      </c>
      <c r="K128" s="294">
        <f t="shared" si="5"/>
        <v>0</v>
      </c>
    </row>
    <row r="129" spans="2:12" x14ac:dyDescent="0.25">
      <c r="B129" s="278" t="s">
        <v>65</v>
      </c>
      <c r="C129" s="12">
        <f t="shared" ref="C129:K129" si="6">C27+C35+C44+C53+C61+C74+C85+C95+C107+C113</f>
        <v>0</v>
      </c>
      <c r="D129" s="12">
        <f t="shared" si="6"/>
        <v>0</v>
      </c>
      <c r="E129" s="12">
        <f t="shared" si="6"/>
        <v>0</v>
      </c>
      <c r="F129" s="12">
        <f t="shared" si="6"/>
        <v>0</v>
      </c>
      <c r="G129" s="12">
        <f t="shared" si="6"/>
        <v>0</v>
      </c>
      <c r="H129" s="12">
        <f t="shared" si="6"/>
        <v>0</v>
      </c>
      <c r="I129" s="12">
        <f t="shared" si="6"/>
        <v>0</v>
      </c>
      <c r="J129" s="12">
        <f t="shared" si="6"/>
        <v>0</v>
      </c>
      <c r="K129" s="12">
        <f t="shared" si="6"/>
        <v>0</v>
      </c>
    </row>
    <row r="130" spans="2:12" x14ac:dyDescent="0.25">
      <c r="B130" s="278" t="s">
        <v>66</v>
      </c>
      <c r="C130" s="12">
        <f t="shared" ref="C130:K130" si="7">C28+C36+C45+C54+C62+C75+C86+C96+C108+C114</f>
        <v>0</v>
      </c>
      <c r="D130" s="12">
        <f t="shared" si="7"/>
        <v>0</v>
      </c>
      <c r="E130" s="12">
        <f t="shared" si="7"/>
        <v>0</v>
      </c>
      <c r="F130" s="12">
        <f t="shared" si="7"/>
        <v>0</v>
      </c>
      <c r="G130" s="12">
        <f t="shared" si="7"/>
        <v>0</v>
      </c>
      <c r="H130" s="12">
        <f t="shared" si="7"/>
        <v>0</v>
      </c>
      <c r="I130" s="12">
        <f t="shared" si="7"/>
        <v>0</v>
      </c>
      <c r="J130" s="12">
        <f t="shared" si="7"/>
        <v>0</v>
      </c>
      <c r="K130" s="12">
        <f t="shared" si="7"/>
        <v>0</v>
      </c>
    </row>
    <row r="131" spans="2:12" x14ac:dyDescent="0.25">
      <c r="B131" s="278" t="s">
        <v>555</v>
      </c>
      <c r="C131" s="12">
        <f t="shared" ref="C131:K131" si="8">C8+C11+C15+C18+C22+C37+C46+C55+C63+C80+C122</f>
        <v>33887143.07</v>
      </c>
      <c r="D131" s="12">
        <f t="shared" si="8"/>
        <v>33887143.07</v>
      </c>
      <c r="E131" s="12">
        <f t="shared" si="8"/>
        <v>28342037.058416005</v>
      </c>
      <c r="F131" s="12">
        <f t="shared" si="8"/>
        <v>325888.16599999997</v>
      </c>
      <c r="G131" s="12">
        <f t="shared" si="8"/>
        <v>5219217.8455839995</v>
      </c>
      <c r="H131" s="12">
        <f t="shared" si="8"/>
        <v>27794922.25</v>
      </c>
      <c r="I131" s="12">
        <f t="shared" si="8"/>
        <v>23771783.520000003</v>
      </c>
      <c r="J131" s="12">
        <f t="shared" si="8"/>
        <v>606799.88</v>
      </c>
      <c r="K131" s="12">
        <f t="shared" si="8"/>
        <v>3416338.8499999996</v>
      </c>
      <c r="L131" s="2">
        <v>2</v>
      </c>
    </row>
    <row r="132" spans="2:12" x14ac:dyDescent="0.25">
      <c r="B132" s="278" t="s">
        <v>557</v>
      </c>
      <c r="C132" s="12">
        <f t="shared" ref="C132:K132" si="9">C29+C38+C47+C56+C64+C68+C76+C90+C97+C102</f>
        <v>0</v>
      </c>
      <c r="D132" s="12">
        <f t="shared" si="9"/>
        <v>0</v>
      </c>
      <c r="E132" s="12">
        <f t="shared" si="9"/>
        <v>0</v>
      </c>
      <c r="F132" s="12">
        <f t="shared" si="9"/>
        <v>0</v>
      </c>
      <c r="G132" s="12">
        <f t="shared" si="9"/>
        <v>0</v>
      </c>
      <c r="H132" s="12">
        <f t="shared" si="9"/>
        <v>0</v>
      </c>
      <c r="I132" s="12">
        <f t="shared" si="9"/>
        <v>0</v>
      </c>
      <c r="J132" s="12">
        <f t="shared" si="9"/>
        <v>0</v>
      </c>
      <c r="K132" s="12">
        <f t="shared" si="9"/>
        <v>0</v>
      </c>
    </row>
    <row r="133" spans="2:12" x14ac:dyDescent="0.25">
      <c r="B133" s="278" t="s">
        <v>554</v>
      </c>
      <c r="C133" s="12">
        <f>C12+C19+C30+C39+C48+C57+C65+C69+C77+C81+C87+C91+C98+C103+C109+C115+C119</f>
        <v>0</v>
      </c>
      <c r="D133" s="12">
        <f t="shared" ref="D133:K133" si="10">D12+D19+D30+D39+D48+D57+D65+D69+D77+D81+D87+D91+D98+D103+D109+D115+D119</f>
        <v>0</v>
      </c>
      <c r="E133" s="12">
        <f t="shared" si="10"/>
        <v>0</v>
      </c>
      <c r="F133" s="12">
        <f t="shared" si="10"/>
        <v>0</v>
      </c>
      <c r="G133" s="12">
        <f t="shared" si="10"/>
        <v>0</v>
      </c>
      <c r="H133" s="12">
        <f t="shared" si="10"/>
        <v>0</v>
      </c>
      <c r="I133" s="12">
        <f t="shared" si="10"/>
        <v>0</v>
      </c>
      <c r="J133" s="12">
        <f t="shared" si="10"/>
        <v>0</v>
      </c>
      <c r="K133" s="12">
        <f t="shared" si="10"/>
        <v>0</v>
      </c>
    </row>
    <row r="134" spans="2:12" x14ac:dyDescent="0.25">
      <c r="B134" s="281" t="s">
        <v>67</v>
      </c>
      <c r="C134" s="12">
        <f t="shared" ref="C134:K134" si="11">C9+C13+C16+C20+C23+C31+C40+C49+C58+C66+C70+C78+C82+C88+C92+C99+C104+C110+C116+C120+C123+C124+C100</f>
        <v>5161581.1500000013</v>
      </c>
      <c r="D134" s="12">
        <f t="shared" si="11"/>
        <v>5161581.1500000013</v>
      </c>
      <c r="E134" s="12">
        <f t="shared" si="11"/>
        <v>3919979.5299999993</v>
      </c>
      <c r="F134" s="12">
        <f t="shared" si="11"/>
        <v>87679.059999999983</v>
      </c>
      <c r="G134" s="12">
        <f t="shared" si="11"/>
        <v>1153922.5599999998</v>
      </c>
      <c r="H134" s="12">
        <f t="shared" si="11"/>
        <v>5161581.1500000004</v>
      </c>
      <c r="I134" s="12">
        <f t="shared" si="11"/>
        <v>3919979.5300000007</v>
      </c>
      <c r="J134" s="12">
        <f t="shared" si="11"/>
        <v>87679.06</v>
      </c>
      <c r="K134" s="12">
        <f t="shared" si="11"/>
        <v>1153922.5600000001</v>
      </c>
      <c r="L134" s="2">
        <v>21</v>
      </c>
    </row>
    <row r="135" spans="2:12" ht="15.75" thickBot="1" x14ac:dyDescent="0.3">
      <c r="B135" s="282" t="s">
        <v>625</v>
      </c>
      <c r="C135" s="18">
        <f t="shared" ref="C135:G135" si="12">SUM(C127:C134)</f>
        <v>39048724.219999999</v>
      </c>
      <c r="D135" s="18">
        <f t="shared" si="12"/>
        <v>39048724.219999999</v>
      </c>
      <c r="E135" s="18">
        <f t="shared" si="12"/>
        <v>32262016.588416003</v>
      </c>
      <c r="F135" s="18">
        <f t="shared" si="12"/>
        <v>413567.22599999997</v>
      </c>
      <c r="G135" s="18">
        <f t="shared" si="12"/>
        <v>6373140.4055839991</v>
      </c>
      <c r="H135" s="18">
        <f t="shared" ref="H135:K135" si="13">SUM(H127:H134)</f>
        <v>32956503.399999999</v>
      </c>
      <c r="I135" s="18">
        <f t="shared" si="13"/>
        <v>27691763.050000004</v>
      </c>
      <c r="J135" s="18">
        <f t="shared" si="13"/>
        <v>694478.94</v>
      </c>
      <c r="K135" s="18">
        <f t="shared" si="13"/>
        <v>4570261.41</v>
      </c>
    </row>
    <row r="136" spans="2:12" x14ac:dyDescent="0.25">
      <c r="B136" s="71"/>
      <c r="C136" s="96">
        <f t="shared" ref="C136:J136" si="14">C6</f>
        <v>39048724.219999999</v>
      </c>
      <c r="D136" s="96">
        <f t="shared" si="14"/>
        <v>39048724.219999999</v>
      </c>
      <c r="E136" s="96">
        <f t="shared" si="14"/>
        <v>32262016.588415995</v>
      </c>
      <c r="F136" s="96">
        <f t="shared" si="14"/>
        <v>413567.22600000008</v>
      </c>
      <c r="G136" s="96">
        <f t="shared" si="14"/>
        <v>6373140.4055840001</v>
      </c>
      <c r="H136" s="96">
        <f t="shared" si="14"/>
        <v>32956503.400000002</v>
      </c>
      <c r="I136" s="96">
        <f t="shared" si="14"/>
        <v>27691763.050000001</v>
      </c>
      <c r="J136" s="96">
        <f t="shared" si="14"/>
        <v>694478.94</v>
      </c>
    </row>
    <row r="137" spans="2:12" x14ac:dyDescent="0.25">
      <c r="B137" s="96" t="s">
        <v>627</v>
      </c>
      <c r="C137" s="96">
        <f t="shared" ref="C137:J137" si="15">C135-C136</f>
        <v>0</v>
      </c>
      <c r="D137" s="96">
        <f t="shared" si="15"/>
        <v>0</v>
      </c>
      <c r="E137" s="96">
        <f t="shared" si="15"/>
        <v>0</v>
      </c>
      <c r="F137" s="96">
        <f t="shared" si="15"/>
        <v>0</v>
      </c>
      <c r="G137" s="96">
        <f t="shared" si="15"/>
        <v>0</v>
      </c>
      <c r="H137" s="96">
        <f t="shared" si="15"/>
        <v>0</v>
      </c>
      <c r="I137" s="96">
        <f t="shared" si="15"/>
        <v>0</v>
      </c>
      <c r="J137" s="96">
        <f t="shared" si="15"/>
        <v>0</v>
      </c>
    </row>
    <row r="138" spans="2:12" x14ac:dyDescent="0.25">
      <c r="F138" s="686">
        <f>F135/D135</f>
        <v>1.0591056027079595E-2</v>
      </c>
      <c r="J138" s="686">
        <f>J135/H135</f>
        <v>2.1072591699761448E-2</v>
      </c>
    </row>
  </sheetData>
  <autoFilter ref="A7:L124"/>
  <mergeCells count="7">
    <mergeCell ref="A1:L3"/>
    <mergeCell ref="A4:A5"/>
    <mergeCell ref="B4:B5"/>
    <mergeCell ref="D4:G4"/>
    <mergeCell ref="H4:K4"/>
    <mergeCell ref="L4:L5"/>
    <mergeCell ref="C4:C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104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5"/>
  </sheetPr>
  <dimension ref="A1:M141"/>
  <sheetViews>
    <sheetView view="pageBreakPreview" zoomScale="70" zoomScaleNormal="100" zoomScaleSheetLayoutView="70" workbookViewId="0">
      <selection sqref="A1:L3"/>
    </sheetView>
  </sheetViews>
  <sheetFormatPr defaultColWidth="9.140625" defaultRowHeight="15" outlineLevelRow="1" x14ac:dyDescent="0.25"/>
  <cols>
    <col min="1" max="1" width="4.28515625" style="25" customWidth="1"/>
    <col min="2" max="2" width="44" style="2" customWidth="1"/>
    <col min="3" max="3" width="16.85546875" style="96" customWidth="1"/>
    <col min="4" max="11" width="17" style="96" customWidth="1"/>
    <col min="12" max="12" width="24" style="2" customWidth="1"/>
    <col min="13" max="13" width="11.140625" style="2" customWidth="1"/>
    <col min="14" max="16384" width="9.140625" style="2"/>
  </cols>
  <sheetData>
    <row r="1" spans="1:13" x14ac:dyDescent="0.25">
      <c r="A1" s="777" t="s">
        <v>891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3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3" ht="15.7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3" s="5" customFormat="1" ht="32.25" customHeight="1" x14ac:dyDescent="0.25">
      <c r="A4" s="744" t="s">
        <v>0</v>
      </c>
      <c r="B4" s="761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8"/>
      <c r="L4" s="751" t="s">
        <v>716</v>
      </c>
      <c r="M4" s="803" t="s">
        <v>762</v>
      </c>
    </row>
    <row r="5" spans="1:13" s="5" customFormat="1" ht="52.5" customHeight="1" x14ac:dyDescent="0.25">
      <c r="A5" s="745"/>
      <c r="B5" s="762"/>
      <c r="C5" s="801"/>
      <c r="D5" s="37" t="s">
        <v>2</v>
      </c>
      <c r="E5" s="540" t="s">
        <v>3</v>
      </c>
      <c r="F5" s="540" t="s">
        <v>717</v>
      </c>
      <c r="G5" s="541" t="s">
        <v>5</v>
      </c>
      <c r="H5" s="542" t="s">
        <v>2</v>
      </c>
      <c r="I5" s="540" t="s">
        <v>3</v>
      </c>
      <c r="J5" s="540" t="s">
        <v>717</v>
      </c>
      <c r="K5" s="537" t="s">
        <v>5</v>
      </c>
      <c r="L5" s="752"/>
      <c r="M5" s="803"/>
    </row>
    <row r="6" spans="1:13" s="5" customFormat="1" ht="36.75" customHeight="1" x14ac:dyDescent="0.25">
      <c r="A6" s="390"/>
      <c r="B6" s="390" t="s">
        <v>25</v>
      </c>
      <c r="C6" s="93">
        <f>C7+C10+C13+C16+C19+C22+C25+C28+C31+C34+C42+C45+C57+C65+C69+C73+C76+C83+C91+C94+C97+C100+C103+C106+C109+C112+C115+C118+C121+C128+C52+C124+C126</f>
        <v>150878903.52000001</v>
      </c>
      <c r="D6" s="64">
        <f>E6+F6+G6</f>
        <v>150878903.52000001</v>
      </c>
      <c r="E6" s="22">
        <f t="shared" ref="E6:G6" si="0">E7+E10+E13+E16+E19+E22+E25+E28+E31+E34+E42+E45+E57+E65+E69+E73+E76+E83+E91+E94+E97+E100+E103+E106+E109+E112+E115+E118+E121+E128+E52+E124+E126</f>
        <v>109115760.13377391</v>
      </c>
      <c r="F6" s="22">
        <f t="shared" si="0"/>
        <v>7534215.0215000007</v>
      </c>
      <c r="G6" s="23">
        <f t="shared" si="0"/>
        <v>34228928.364726089</v>
      </c>
      <c r="H6" s="64">
        <f>I6+J6+K6</f>
        <v>127507710.44999999</v>
      </c>
      <c r="I6" s="22">
        <f t="shared" ref="I6:K6" si="1">I7+I10+I13+I16+I19+I22+I25+I28+I31+I34+I42+I45+I57+I65+I69+I73+I76+I83+I91+I94+I97+I100+I103+I106+I109+I112+I115+I118+I121+I128+I52+I124+I126</f>
        <v>90092008.749999985</v>
      </c>
      <c r="J6" s="22">
        <f t="shared" si="1"/>
        <v>6375385.5199999996</v>
      </c>
      <c r="K6" s="23">
        <f t="shared" si="1"/>
        <v>31040316.18</v>
      </c>
      <c r="L6" s="217"/>
    </row>
    <row r="7" spans="1:13" s="9" customFormat="1" ht="33" customHeight="1" x14ac:dyDescent="0.2">
      <c r="A7" s="233">
        <v>1</v>
      </c>
      <c r="B7" s="234" t="s">
        <v>357</v>
      </c>
      <c r="C7" s="58">
        <f>SUM(C8:C9)</f>
        <v>69758.59</v>
      </c>
      <c r="D7" s="21">
        <f>E7+F7+G7</f>
        <v>69758.59</v>
      </c>
      <c r="E7" s="44">
        <f>SUM(E8:E9)</f>
        <v>51314.418804000001</v>
      </c>
      <c r="F7" s="44">
        <f>SUM(F8:F9)</f>
        <v>3487.9295000000002</v>
      </c>
      <c r="G7" s="297">
        <f>SUM(G8:G9)</f>
        <v>14956.241695999995</v>
      </c>
      <c r="H7" s="21">
        <f>I7+J7+K7</f>
        <v>69758.59</v>
      </c>
      <c r="I7" s="44">
        <f>SUM(I8:I9)</f>
        <v>51314.42</v>
      </c>
      <c r="J7" s="44">
        <f>SUM(J8:J9)</f>
        <v>3487.93</v>
      </c>
      <c r="K7" s="297">
        <f>SUM(K8:K9)</f>
        <v>14956.24</v>
      </c>
      <c r="L7" s="35"/>
    </row>
    <row r="8" spans="1:13" ht="15.75" outlineLevel="1" x14ac:dyDescent="0.25">
      <c r="A8" s="235"/>
      <c r="B8" s="236" t="s">
        <v>555</v>
      </c>
      <c r="C8" s="59"/>
      <c r="D8" s="29"/>
      <c r="E8" s="12"/>
      <c r="F8" s="12"/>
      <c r="G8" s="16"/>
      <c r="H8" s="29"/>
      <c r="I8" s="12"/>
      <c r="J8" s="12"/>
      <c r="K8" s="16"/>
      <c r="L8" s="28"/>
    </row>
    <row r="9" spans="1:13" s="91" customFormat="1" ht="15.75" outlineLevel="1" x14ac:dyDescent="0.25">
      <c r="A9" s="298"/>
      <c r="B9" s="299" t="s">
        <v>67</v>
      </c>
      <c r="C9" s="245">
        <v>69758.59</v>
      </c>
      <c r="D9" s="300">
        <f>E9+F9+G9</f>
        <v>69758.59</v>
      </c>
      <c r="E9" s="250">
        <f>C9*0.7356</f>
        <v>51314.418804000001</v>
      </c>
      <c r="F9" s="250">
        <f>C9*5%</f>
        <v>3487.9295000000002</v>
      </c>
      <c r="G9" s="251">
        <f>C9-E9-F9</f>
        <v>14956.241695999995</v>
      </c>
      <c r="H9" s="300">
        <f>I9+J9+K9</f>
        <v>69758.59</v>
      </c>
      <c r="I9" s="301">
        <v>51314.42</v>
      </c>
      <c r="J9" s="301">
        <v>3487.93</v>
      </c>
      <c r="K9" s="248">
        <v>14956.24</v>
      </c>
      <c r="L9" s="271" t="s">
        <v>659</v>
      </c>
    </row>
    <row r="10" spans="1:13" s="9" customFormat="1" ht="36" customHeight="1" x14ac:dyDescent="0.2">
      <c r="A10" s="233">
        <v>2</v>
      </c>
      <c r="B10" s="234" t="s">
        <v>359</v>
      </c>
      <c r="C10" s="58">
        <f>SUM(C11:C12)</f>
        <v>100700.45</v>
      </c>
      <c r="D10" s="21">
        <f>E10+F10+G10</f>
        <v>100700.45000000001</v>
      </c>
      <c r="E10" s="44">
        <f>SUM(E11:E12)</f>
        <v>74075.251019999996</v>
      </c>
      <c r="F10" s="44">
        <f>SUM(F11:F12)</f>
        <v>5035.0225</v>
      </c>
      <c r="G10" s="297">
        <f>SUM(G11:G12)</f>
        <v>21590.176480000002</v>
      </c>
      <c r="H10" s="21">
        <f>I10+J10+K10</f>
        <v>100700.45000000001</v>
      </c>
      <c r="I10" s="44">
        <f>SUM(I11:I12)</f>
        <v>74075.25</v>
      </c>
      <c r="J10" s="44">
        <f>SUM(J11:J12)</f>
        <v>5035.0200000000004</v>
      </c>
      <c r="K10" s="297">
        <f>SUM(K11:K12)</f>
        <v>21590.18</v>
      </c>
      <c r="L10" s="35"/>
    </row>
    <row r="11" spans="1:13" ht="15.75" outlineLevel="1" x14ac:dyDescent="0.25">
      <c r="A11" s="235"/>
      <c r="B11" s="236" t="s">
        <v>555</v>
      </c>
      <c r="C11" s="59"/>
      <c r="D11" s="29"/>
      <c r="E11" s="12"/>
      <c r="F11" s="12"/>
      <c r="G11" s="16"/>
      <c r="H11" s="29"/>
      <c r="I11" s="12"/>
      <c r="J11" s="12"/>
      <c r="K11" s="16"/>
      <c r="L11" s="28"/>
    </row>
    <row r="12" spans="1:13" s="91" customFormat="1" ht="15.75" outlineLevel="1" x14ac:dyDescent="0.25">
      <c r="A12" s="298"/>
      <c r="B12" s="299" t="s">
        <v>67</v>
      </c>
      <c r="C12" s="245">
        <v>100700.45</v>
      </c>
      <c r="D12" s="300">
        <f>E12+F12+G12</f>
        <v>100700.45000000001</v>
      </c>
      <c r="E12" s="250">
        <f>C12*0.7356</f>
        <v>74075.251019999996</v>
      </c>
      <c r="F12" s="250">
        <f>C12*5%</f>
        <v>5035.0225</v>
      </c>
      <c r="G12" s="251">
        <f>C12-E12-F12</f>
        <v>21590.176480000002</v>
      </c>
      <c r="H12" s="300">
        <f>I12+J12+K12</f>
        <v>100700.45000000001</v>
      </c>
      <c r="I12" s="301">
        <v>74075.25</v>
      </c>
      <c r="J12" s="301">
        <v>5035.0200000000004</v>
      </c>
      <c r="K12" s="248">
        <v>21590.18</v>
      </c>
      <c r="L12" s="252" t="s">
        <v>659</v>
      </c>
    </row>
    <row r="13" spans="1:13" s="9" customFormat="1" ht="39" customHeight="1" x14ac:dyDescent="0.2">
      <c r="A13" s="233">
        <v>3</v>
      </c>
      <c r="B13" s="234" t="s">
        <v>356</v>
      </c>
      <c r="C13" s="58">
        <f>SUM(C14:C15)</f>
        <v>72611.41</v>
      </c>
      <c r="D13" s="21">
        <f>E13+F13+G13</f>
        <v>72611.41</v>
      </c>
      <c r="E13" s="44">
        <f>SUM(E14:E15)</f>
        <v>53412.953196000002</v>
      </c>
      <c r="F13" s="44">
        <f>SUM(F14:F15)</f>
        <v>3630.5705000000003</v>
      </c>
      <c r="G13" s="297">
        <f>SUM(G14:G15)</f>
        <v>15567.886304000001</v>
      </c>
      <c r="H13" s="21">
        <f>I13+J13+K13</f>
        <v>72611.41</v>
      </c>
      <c r="I13" s="44">
        <f>SUM(I14:I15)</f>
        <v>53412.95</v>
      </c>
      <c r="J13" s="44">
        <f>SUM(J14:J15)</f>
        <v>3630.57</v>
      </c>
      <c r="K13" s="297">
        <f>SUM(K14:K15)</f>
        <v>15567.89</v>
      </c>
      <c r="L13" s="35"/>
    </row>
    <row r="14" spans="1:13" ht="15.75" outlineLevel="1" x14ac:dyDescent="0.25">
      <c r="A14" s="235"/>
      <c r="B14" s="236" t="s">
        <v>555</v>
      </c>
      <c r="C14" s="59"/>
      <c r="D14" s="29"/>
      <c r="E14" s="12"/>
      <c r="F14" s="12"/>
      <c r="G14" s="16"/>
      <c r="H14" s="29"/>
      <c r="I14" s="12"/>
      <c r="J14" s="12"/>
      <c r="K14" s="16"/>
      <c r="L14" s="28"/>
    </row>
    <row r="15" spans="1:13" s="91" customFormat="1" ht="15.75" outlineLevel="1" x14ac:dyDescent="0.25">
      <c r="A15" s="298"/>
      <c r="B15" s="299" t="s">
        <v>67</v>
      </c>
      <c r="C15" s="245">
        <v>72611.41</v>
      </c>
      <c r="D15" s="300">
        <f>E15+F15+G15</f>
        <v>72611.41</v>
      </c>
      <c r="E15" s="250">
        <f>C15*0.7356</f>
        <v>53412.953196000002</v>
      </c>
      <c r="F15" s="250">
        <f>C15*5%</f>
        <v>3630.5705000000003</v>
      </c>
      <c r="G15" s="251">
        <f>C15-E15-F15</f>
        <v>15567.886304000001</v>
      </c>
      <c r="H15" s="300">
        <f>I15+J15+K15</f>
        <v>72611.41</v>
      </c>
      <c r="I15" s="301">
        <v>53412.95</v>
      </c>
      <c r="J15" s="301">
        <v>3630.57</v>
      </c>
      <c r="K15" s="248">
        <v>15567.89</v>
      </c>
      <c r="L15" s="252" t="s">
        <v>659</v>
      </c>
    </row>
    <row r="16" spans="1:13" s="395" customFormat="1" ht="30.75" customHeight="1" x14ac:dyDescent="0.2">
      <c r="A16" s="584">
        <v>4</v>
      </c>
      <c r="B16" s="599" t="s">
        <v>365</v>
      </c>
      <c r="C16" s="287">
        <f>SUM(C17:C18)</f>
        <v>7500962.8700000001</v>
      </c>
      <c r="D16" s="585">
        <f>E16+F16+G16</f>
        <v>7500962.870000001</v>
      </c>
      <c r="E16" s="401">
        <f>SUM(E17:E18)</f>
        <v>5005667.4725882001</v>
      </c>
      <c r="F16" s="401">
        <f>SUM(F17:F18)</f>
        <v>375048.14350000001</v>
      </c>
      <c r="G16" s="402">
        <f>SUM(G17:G18)</f>
        <v>2120247.2539118002</v>
      </c>
      <c r="H16" s="585">
        <f>I16+J16+K16</f>
        <v>7500962.8699999992</v>
      </c>
      <c r="I16" s="401">
        <f>SUM(I17:I18)</f>
        <v>4998491.6399999997</v>
      </c>
      <c r="J16" s="401">
        <f>SUM(J17:J18)</f>
        <v>375048.13999999996</v>
      </c>
      <c r="K16" s="402">
        <f>SUM(K17:K18)</f>
        <v>2127423.0900000003</v>
      </c>
      <c r="L16" s="400"/>
    </row>
    <row r="17" spans="1:13" s="91" customFormat="1" ht="15.75" outlineLevel="1" x14ac:dyDescent="0.25">
      <c r="A17" s="298"/>
      <c r="B17" s="299" t="s">
        <v>555</v>
      </c>
      <c r="C17" s="245">
        <v>7397295.79</v>
      </c>
      <c r="D17" s="300">
        <f t="shared" ref="D17" si="2">E17+F17+G17</f>
        <v>7397295.79</v>
      </c>
      <c r="E17" s="250">
        <f>C17*0.66638</f>
        <v>4929409.9685402</v>
      </c>
      <c r="F17" s="250">
        <f>C17*5%</f>
        <v>369864.78950000001</v>
      </c>
      <c r="G17" s="251">
        <f>C17-E17-F17</f>
        <v>2098021.0319598</v>
      </c>
      <c r="H17" s="300">
        <f>I17+J17+K17</f>
        <v>7397295.79</v>
      </c>
      <c r="I17" s="301">
        <v>4922234.13</v>
      </c>
      <c r="J17" s="301">
        <v>369864.79</v>
      </c>
      <c r="K17" s="248">
        <v>2105196.87</v>
      </c>
      <c r="L17" s="271" t="s">
        <v>766</v>
      </c>
      <c r="M17" s="597">
        <v>42583</v>
      </c>
    </row>
    <row r="18" spans="1:13" s="91" customFormat="1" ht="15.75" outlineLevel="1" x14ac:dyDescent="0.25">
      <c r="A18" s="298"/>
      <c r="B18" s="299" t="s">
        <v>67</v>
      </c>
      <c r="C18" s="245">
        <v>103667.08</v>
      </c>
      <c r="D18" s="300">
        <f t="shared" ref="D18:D26" si="3">E18+F18+G18</f>
        <v>103667.08000000002</v>
      </c>
      <c r="E18" s="250">
        <f>C18*0.7356</f>
        <v>76257.504048000003</v>
      </c>
      <c r="F18" s="250">
        <f>C18*5%</f>
        <v>5183.3540000000003</v>
      </c>
      <c r="G18" s="251">
        <f>C18-E18-F18</f>
        <v>22226.221952</v>
      </c>
      <c r="H18" s="300">
        <f>I18+J18+K18</f>
        <v>103667.08</v>
      </c>
      <c r="I18" s="301">
        <v>76257.509999999995</v>
      </c>
      <c r="J18" s="301">
        <v>5183.3500000000004</v>
      </c>
      <c r="K18" s="248">
        <v>22226.22</v>
      </c>
      <c r="L18" s="252" t="s">
        <v>659</v>
      </c>
    </row>
    <row r="19" spans="1:13" s="395" customFormat="1" ht="30.75" customHeight="1" x14ac:dyDescent="0.2">
      <c r="A19" s="584">
        <v>5</v>
      </c>
      <c r="B19" s="599" t="s">
        <v>366</v>
      </c>
      <c r="C19" s="287">
        <f>SUM(C20:C21)</f>
        <v>7479566.3299999991</v>
      </c>
      <c r="D19" s="585">
        <f t="shared" si="3"/>
        <v>7479566.3300000001</v>
      </c>
      <c r="E19" s="401">
        <f>SUM(E20:E21)</f>
        <v>4984233.4056839999</v>
      </c>
      <c r="F19" s="401">
        <f>SUM(F20:F21)</f>
        <v>373978.31950000004</v>
      </c>
      <c r="G19" s="402">
        <f>SUM(G20:G21)</f>
        <v>2121354.6048160004</v>
      </c>
      <c r="H19" s="585">
        <f>I19+J19+K19</f>
        <v>7479566.3300000001</v>
      </c>
      <c r="I19" s="401">
        <f>SUM(I20:I21)</f>
        <v>4984233.41</v>
      </c>
      <c r="J19" s="401">
        <f>SUM(J20:J21)</f>
        <v>373978.32</v>
      </c>
      <c r="K19" s="402">
        <f>SUM(K20:K21)</f>
        <v>2121354.5999999996</v>
      </c>
      <c r="L19" s="400"/>
    </row>
    <row r="20" spans="1:13" s="91" customFormat="1" ht="15.75" outlineLevel="1" x14ac:dyDescent="0.25">
      <c r="A20" s="298"/>
      <c r="B20" s="299" t="s">
        <v>555</v>
      </c>
      <c r="C20" s="245">
        <f>6725001.5+672491.44</f>
        <v>7397492.9399999995</v>
      </c>
      <c r="D20" s="300">
        <f t="shared" si="3"/>
        <v>7397492.9400000004</v>
      </c>
      <c r="E20" s="301">
        <v>4923860.22</v>
      </c>
      <c r="F20" s="301">
        <v>369874.65</v>
      </c>
      <c r="G20" s="251">
        <v>2103758.0700000003</v>
      </c>
      <c r="H20" s="300">
        <f>SUM(I20:K20)</f>
        <v>7397492.9399999995</v>
      </c>
      <c r="I20" s="301">
        <v>4923860.22</v>
      </c>
      <c r="J20" s="301">
        <v>369874.65</v>
      </c>
      <c r="K20" s="248">
        <v>2103758.0699999998</v>
      </c>
      <c r="L20" s="271" t="s">
        <v>764</v>
      </c>
      <c r="M20" s="597">
        <v>42583</v>
      </c>
    </row>
    <row r="21" spans="1:13" s="91" customFormat="1" ht="15.75" outlineLevel="1" x14ac:dyDescent="0.25">
      <c r="A21" s="298"/>
      <c r="B21" s="299" t="s">
        <v>67</v>
      </c>
      <c r="C21" s="245">
        <v>82073.39</v>
      </c>
      <c r="D21" s="300">
        <f t="shared" si="3"/>
        <v>82073.39</v>
      </c>
      <c r="E21" s="250">
        <f>C21*0.7356</f>
        <v>60373.185684000004</v>
      </c>
      <c r="F21" s="250">
        <f>C21*5%</f>
        <v>4103.6695</v>
      </c>
      <c r="G21" s="251">
        <f>C21-E21-F21</f>
        <v>17596.534815999996</v>
      </c>
      <c r="H21" s="300">
        <f>I21+J21+K21</f>
        <v>82073.39</v>
      </c>
      <c r="I21" s="301">
        <v>60373.19</v>
      </c>
      <c r="J21" s="301">
        <v>4103.67</v>
      </c>
      <c r="K21" s="248">
        <v>17596.53</v>
      </c>
      <c r="L21" s="252" t="s">
        <v>659</v>
      </c>
    </row>
    <row r="22" spans="1:13" s="395" customFormat="1" ht="30.75" customHeight="1" x14ac:dyDescent="0.2">
      <c r="A22" s="584">
        <v>6</v>
      </c>
      <c r="B22" s="599" t="s">
        <v>367</v>
      </c>
      <c r="C22" s="287">
        <f>SUM(C23:C24)</f>
        <v>7479769.6599999992</v>
      </c>
      <c r="D22" s="585">
        <f t="shared" si="3"/>
        <v>7479769.6600000001</v>
      </c>
      <c r="E22" s="401">
        <f>SUM(E23:E24)</f>
        <v>4984368.9152319999</v>
      </c>
      <c r="F22" s="401">
        <f>SUM(F23:F24)</f>
        <v>373988.47599999997</v>
      </c>
      <c r="G22" s="402">
        <f>SUM(G23:G24)</f>
        <v>2121412.268768</v>
      </c>
      <c r="H22" s="585">
        <f>I22+J22+K22</f>
        <v>7479769.6600000001</v>
      </c>
      <c r="I22" s="401">
        <f>SUM(I23:I24)</f>
        <v>4984368.91</v>
      </c>
      <c r="J22" s="401">
        <f>SUM(J23:J24)</f>
        <v>373988.48000000004</v>
      </c>
      <c r="K22" s="402">
        <f>SUM(K23:K24)</f>
        <v>2121412.27</v>
      </c>
      <c r="L22" s="400"/>
    </row>
    <row r="23" spans="1:13" s="91" customFormat="1" ht="15.75" outlineLevel="1" x14ac:dyDescent="0.25">
      <c r="A23" s="298"/>
      <c r="B23" s="299" t="s">
        <v>555</v>
      </c>
      <c r="C23" s="245">
        <f>6725001.5+672491.44</f>
        <v>7397492.9399999995</v>
      </c>
      <c r="D23" s="300">
        <f t="shared" si="3"/>
        <v>7397492.9399999995</v>
      </c>
      <c r="E23" s="301">
        <v>4923846.16</v>
      </c>
      <c r="F23" s="301">
        <v>369874.63999999996</v>
      </c>
      <c r="G23" s="251">
        <v>2103772.14</v>
      </c>
      <c r="H23" s="300">
        <f>SUM(I23:K23)</f>
        <v>7397492.9399999995</v>
      </c>
      <c r="I23" s="301">
        <v>4923846.16</v>
      </c>
      <c r="J23" s="301">
        <v>369874.64</v>
      </c>
      <c r="K23" s="248">
        <v>2103772.14</v>
      </c>
      <c r="L23" s="271" t="s">
        <v>764</v>
      </c>
      <c r="M23" s="597">
        <v>42583</v>
      </c>
    </row>
    <row r="24" spans="1:13" s="91" customFormat="1" ht="15.75" outlineLevel="1" x14ac:dyDescent="0.25">
      <c r="A24" s="298"/>
      <c r="B24" s="299" t="s">
        <v>67</v>
      </c>
      <c r="C24" s="245">
        <v>82276.72</v>
      </c>
      <c r="D24" s="300">
        <f t="shared" si="3"/>
        <v>82276.72</v>
      </c>
      <c r="E24" s="250">
        <f>C24*0.7356</f>
        <v>60522.755232000003</v>
      </c>
      <c r="F24" s="250">
        <f>C24*5%</f>
        <v>4113.8360000000002</v>
      </c>
      <c r="G24" s="251">
        <f>C24-E24-F24</f>
        <v>17640.128767999999</v>
      </c>
      <c r="H24" s="300">
        <f>I24+J24+K24</f>
        <v>82276.72</v>
      </c>
      <c r="I24" s="301">
        <v>60522.75</v>
      </c>
      <c r="J24" s="301">
        <v>4113.84</v>
      </c>
      <c r="K24" s="248">
        <v>17640.13</v>
      </c>
      <c r="L24" s="252" t="s">
        <v>659</v>
      </c>
    </row>
    <row r="25" spans="1:13" s="395" customFormat="1" ht="30.75" customHeight="1" x14ac:dyDescent="0.2">
      <c r="A25" s="584">
        <v>7</v>
      </c>
      <c r="B25" s="599" t="s">
        <v>363</v>
      </c>
      <c r="C25" s="287">
        <f>SUM(C26:C27)</f>
        <v>9637537.8200000003</v>
      </c>
      <c r="D25" s="585">
        <f t="shared" si="3"/>
        <v>9637537.8200000003</v>
      </c>
      <c r="E25" s="401">
        <f>SUM(E26:E27)</f>
        <v>6427801.3545198003</v>
      </c>
      <c r="F25" s="401">
        <f>SUM(F26:F27)</f>
        <v>481876.89100000006</v>
      </c>
      <c r="G25" s="402">
        <f>SUM(G26:G27)</f>
        <v>2727859.5744801997</v>
      </c>
      <c r="H25" s="585">
        <f>I25+J25+K25</f>
        <v>9637537.8200000003</v>
      </c>
      <c r="I25" s="401">
        <f>SUM(I26:I27)</f>
        <v>6422262.4500000002</v>
      </c>
      <c r="J25" s="401">
        <f>SUM(J26:J27)</f>
        <v>481876.89</v>
      </c>
      <c r="K25" s="402">
        <f>SUM(K26:K27)</f>
        <v>2733398.48</v>
      </c>
      <c r="L25" s="400"/>
    </row>
    <row r="26" spans="1:13" s="91" customFormat="1" ht="15.75" outlineLevel="1" x14ac:dyDescent="0.25">
      <c r="A26" s="298"/>
      <c r="B26" s="299" t="s">
        <v>555</v>
      </c>
      <c r="C26" s="245">
        <v>9557519.0099999998</v>
      </c>
      <c r="D26" s="300">
        <f t="shared" si="3"/>
        <v>9557519.0099999998</v>
      </c>
      <c r="E26" s="250">
        <f>C26*0.66638</f>
        <v>6368939.5178838</v>
      </c>
      <c r="F26" s="250">
        <f>C26*5%</f>
        <v>477875.95050000004</v>
      </c>
      <c r="G26" s="251">
        <f>C26-E26-F26</f>
        <v>2710703.5416161995</v>
      </c>
      <c r="H26" s="300">
        <f>I26+J26+K26</f>
        <v>9557519.0100000016</v>
      </c>
      <c r="I26" s="301">
        <v>6363400.6100000003</v>
      </c>
      <c r="J26" s="301">
        <v>477875.95</v>
      </c>
      <c r="K26" s="248">
        <v>2716242.45</v>
      </c>
      <c r="L26" s="271" t="s">
        <v>766</v>
      </c>
      <c r="M26" s="597">
        <v>42583</v>
      </c>
    </row>
    <row r="27" spans="1:13" s="91" customFormat="1" ht="15.75" outlineLevel="1" x14ac:dyDescent="0.25">
      <c r="A27" s="298"/>
      <c r="B27" s="299" t="s">
        <v>67</v>
      </c>
      <c r="C27" s="245">
        <v>80018.81</v>
      </c>
      <c r="D27" s="300">
        <f>E27+F27+G27</f>
        <v>80018.81</v>
      </c>
      <c r="E27" s="250">
        <f>C27*0.7356</f>
        <v>58861.836636</v>
      </c>
      <c r="F27" s="250">
        <f>C27*5%</f>
        <v>4000.9405000000002</v>
      </c>
      <c r="G27" s="251">
        <f>C27-E27-F27</f>
        <v>17156.032863999997</v>
      </c>
      <c r="H27" s="300">
        <f>I27+J27+K27</f>
        <v>80018.81</v>
      </c>
      <c r="I27" s="301">
        <v>58861.84</v>
      </c>
      <c r="J27" s="301">
        <v>4000.94</v>
      </c>
      <c r="K27" s="248">
        <v>17156.03</v>
      </c>
      <c r="L27" s="252" t="s">
        <v>659</v>
      </c>
    </row>
    <row r="28" spans="1:13" s="9" customFormat="1" ht="35.25" customHeight="1" x14ac:dyDescent="0.2">
      <c r="A28" s="233">
        <v>8</v>
      </c>
      <c r="B28" s="234" t="s">
        <v>596</v>
      </c>
      <c r="C28" s="58">
        <f>SUM(C29:C30)</f>
        <v>100345.43</v>
      </c>
      <c r="D28" s="21">
        <f>E28+F28+G28</f>
        <v>100345.43</v>
      </c>
      <c r="E28" s="44">
        <f>SUM(E29:E30)</f>
        <v>73814.098308000001</v>
      </c>
      <c r="F28" s="44">
        <f>SUM(F29:F30)</f>
        <v>5017.2714999999998</v>
      </c>
      <c r="G28" s="297">
        <f>SUM(G29:G30)</f>
        <v>21514.060191999994</v>
      </c>
      <c r="H28" s="21">
        <f>I28+J28+K28</f>
        <v>100345.43</v>
      </c>
      <c r="I28" s="44">
        <f>SUM(I29:I30)</f>
        <v>73814.100000000006</v>
      </c>
      <c r="J28" s="44">
        <f>SUM(J29:J30)</f>
        <v>5017.2700000000004</v>
      </c>
      <c r="K28" s="297">
        <f>SUM(K29:K30)</f>
        <v>21514.059999999987</v>
      </c>
      <c r="L28" s="35"/>
    </row>
    <row r="29" spans="1:13" ht="15.75" outlineLevel="1" x14ac:dyDescent="0.25">
      <c r="A29" s="235"/>
      <c r="B29" s="237" t="s">
        <v>555</v>
      </c>
      <c r="C29" s="59"/>
      <c r="D29" s="29"/>
      <c r="E29" s="12"/>
      <c r="F29" s="12"/>
      <c r="G29" s="16"/>
      <c r="H29" s="29"/>
      <c r="I29" s="12"/>
      <c r="J29" s="12"/>
      <c r="K29" s="16"/>
      <c r="L29" s="28"/>
    </row>
    <row r="30" spans="1:13" s="91" customFormat="1" ht="15.75" outlineLevel="1" x14ac:dyDescent="0.25">
      <c r="A30" s="298"/>
      <c r="B30" s="299" t="s">
        <v>67</v>
      </c>
      <c r="C30" s="245">
        <v>100345.43</v>
      </c>
      <c r="D30" s="300">
        <f>E30+F30+G30</f>
        <v>100345.43</v>
      </c>
      <c r="E30" s="250">
        <f>C30*0.7356</f>
        <v>73814.098308000001</v>
      </c>
      <c r="F30" s="250">
        <f>C30*5%</f>
        <v>5017.2714999999998</v>
      </c>
      <c r="G30" s="251">
        <f>C30-E30-F30</f>
        <v>21514.060191999994</v>
      </c>
      <c r="H30" s="300">
        <f>I30+J30+K30</f>
        <v>100345.43</v>
      </c>
      <c r="I30" s="301">
        <v>73814.100000000006</v>
      </c>
      <c r="J30" s="301">
        <v>5017.2700000000004</v>
      </c>
      <c r="K30" s="248">
        <v>21514.059999999987</v>
      </c>
      <c r="L30" s="252" t="s">
        <v>659</v>
      </c>
    </row>
    <row r="31" spans="1:13" s="9" customFormat="1" ht="33" customHeight="1" x14ac:dyDescent="0.2">
      <c r="A31" s="233">
        <v>9</v>
      </c>
      <c r="B31" s="238" t="s">
        <v>597</v>
      </c>
      <c r="C31" s="58">
        <f>SUM(C32:C33)</f>
        <v>111278.07</v>
      </c>
      <c r="D31" s="21">
        <f>E31+F31+G31</f>
        <v>111278.07</v>
      </c>
      <c r="E31" s="44">
        <f>SUM(E32:E33)</f>
        <v>81856.148292000013</v>
      </c>
      <c r="F31" s="44">
        <f>SUM(F32:F33)</f>
        <v>5563.9035000000003</v>
      </c>
      <c r="G31" s="297">
        <f>SUM(G32:G33)</f>
        <v>23858.018207999994</v>
      </c>
      <c r="H31" s="21">
        <f>I31+J31+K31</f>
        <v>111278.06999999999</v>
      </c>
      <c r="I31" s="44">
        <f>SUM(I32:I33)</f>
        <v>81856.149999999994</v>
      </c>
      <c r="J31" s="44">
        <f>SUM(J32:J33)</f>
        <v>5563.9</v>
      </c>
      <c r="K31" s="297">
        <f>SUM(K32:K33)</f>
        <v>23858.02</v>
      </c>
      <c r="L31" s="35"/>
    </row>
    <row r="32" spans="1:13" ht="15.75" outlineLevel="1" x14ac:dyDescent="0.25">
      <c r="A32" s="235"/>
      <c r="B32" s="237" t="s">
        <v>555</v>
      </c>
      <c r="C32" s="59"/>
      <c r="D32" s="29"/>
      <c r="E32" s="12"/>
      <c r="F32" s="12"/>
      <c r="G32" s="16"/>
      <c r="H32" s="29"/>
      <c r="I32" s="12"/>
      <c r="J32" s="12"/>
      <c r="K32" s="16"/>
      <c r="L32" s="28"/>
    </row>
    <row r="33" spans="1:13" s="91" customFormat="1" ht="15.75" outlineLevel="1" x14ac:dyDescent="0.25">
      <c r="A33" s="298"/>
      <c r="B33" s="299" t="s">
        <v>67</v>
      </c>
      <c r="C33" s="245">
        <v>111278.07</v>
      </c>
      <c r="D33" s="300">
        <f>E33+F33+G33</f>
        <v>111278.07</v>
      </c>
      <c r="E33" s="250">
        <f>C33*0.7356</f>
        <v>81856.148292000013</v>
      </c>
      <c r="F33" s="250">
        <f>C33*5%</f>
        <v>5563.9035000000003</v>
      </c>
      <c r="G33" s="251">
        <f>C33-E33-F33</f>
        <v>23858.018207999994</v>
      </c>
      <c r="H33" s="300">
        <f>I33+J33+K33</f>
        <v>111278.06999999999</v>
      </c>
      <c r="I33" s="301">
        <v>81856.149999999994</v>
      </c>
      <c r="J33" s="301">
        <v>5563.9</v>
      </c>
      <c r="K33" s="248">
        <v>23858.02</v>
      </c>
      <c r="L33" s="252" t="s">
        <v>659</v>
      </c>
    </row>
    <row r="34" spans="1:13" s="307" customFormat="1" ht="26.25" customHeight="1" x14ac:dyDescent="0.2">
      <c r="A34" s="303">
        <v>10</v>
      </c>
      <c r="B34" s="304" t="s">
        <v>345</v>
      </c>
      <c r="C34" s="285">
        <f>SUM(C35:C41)</f>
        <v>10805275.810000001</v>
      </c>
      <c r="D34" s="227">
        <f>E34+F34+G34</f>
        <v>10805275.810000001</v>
      </c>
      <c r="E34" s="86">
        <f>SUM(E35:E41)</f>
        <v>8127404.8925280003</v>
      </c>
      <c r="F34" s="86">
        <f t="shared" ref="F34:G34" si="4">SUM(F35:F41)</f>
        <v>540263.79200000002</v>
      </c>
      <c r="G34" s="86">
        <f t="shared" si="4"/>
        <v>2137607.1254719999</v>
      </c>
      <c r="H34" s="227">
        <f>I34+J34+K34</f>
        <v>9968131.2399999984</v>
      </c>
      <c r="I34" s="86">
        <f>SUM(I35:I41)</f>
        <v>7332557.3499999996</v>
      </c>
      <c r="J34" s="86">
        <f>SUM(J35:J41)</f>
        <v>498406.56</v>
      </c>
      <c r="K34" s="305">
        <f>SUM(K35:K41)</f>
        <v>2137167.33</v>
      </c>
      <c r="L34" s="306"/>
    </row>
    <row r="35" spans="1:13" s="91" customFormat="1" ht="15.75" outlineLevel="1" x14ac:dyDescent="0.25">
      <c r="A35" s="298"/>
      <c r="B35" s="261" t="s">
        <v>68</v>
      </c>
      <c r="C35" s="245">
        <v>2235324.98</v>
      </c>
      <c r="D35" s="302">
        <f t="shared" ref="D35:D40" si="5">E35+F35+G35</f>
        <v>2235324.98</v>
      </c>
      <c r="E35" s="250">
        <f>C35*0.7356</f>
        <v>1644305.055288</v>
      </c>
      <c r="F35" s="250">
        <f>C35*5%</f>
        <v>111766.24900000001</v>
      </c>
      <c r="G35" s="251">
        <f>C35-E35-F35</f>
        <v>479253.67571199994</v>
      </c>
      <c r="H35" s="300">
        <f t="shared" ref="H35:H40" si="6">I35+J35+K35</f>
        <v>2235324.98</v>
      </c>
      <c r="I35" s="301">
        <v>1644363.88</v>
      </c>
      <c r="J35" s="301">
        <v>111766.25</v>
      </c>
      <c r="K35" s="248">
        <v>479194.85</v>
      </c>
      <c r="L35" s="804" t="s">
        <v>722</v>
      </c>
    </row>
    <row r="36" spans="1:13" s="91" customFormat="1" ht="15.75" outlineLevel="1" x14ac:dyDescent="0.25">
      <c r="A36" s="298"/>
      <c r="B36" s="261" t="s">
        <v>64</v>
      </c>
      <c r="C36" s="245">
        <v>2586317.64</v>
      </c>
      <c r="D36" s="302">
        <f t="shared" si="5"/>
        <v>2586317.64</v>
      </c>
      <c r="E36" s="250">
        <f t="shared" ref="E36:E37" si="7">C36*0.7356</f>
        <v>1902495.2559840002</v>
      </c>
      <c r="F36" s="250">
        <f>C36*5%</f>
        <v>129315.88200000001</v>
      </c>
      <c r="G36" s="251">
        <f t="shared" ref="G36:G37" si="8">C36-E36-F36</f>
        <v>554506.50201599998</v>
      </c>
      <c r="H36" s="300">
        <f t="shared" si="6"/>
        <v>2586317.64</v>
      </c>
      <c r="I36" s="301">
        <v>1902563.32</v>
      </c>
      <c r="J36" s="301">
        <v>129315.88</v>
      </c>
      <c r="K36" s="248">
        <v>554438.43999999994</v>
      </c>
      <c r="L36" s="805"/>
    </row>
    <row r="37" spans="1:13" s="91" customFormat="1" ht="15.75" outlineLevel="1" x14ac:dyDescent="0.25">
      <c r="A37" s="298"/>
      <c r="B37" s="261" t="s">
        <v>65</v>
      </c>
      <c r="C37" s="245">
        <v>667168.09</v>
      </c>
      <c r="D37" s="302">
        <f t="shared" si="5"/>
        <v>667168.09</v>
      </c>
      <c r="E37" s="250">
        <f t="shared" si="7"/>
        <v>490768.84700399998</v>
      </c>
      <c r="F37" s="250">
        <f t="shared" ref="F37" si="9">C37*5%</f>
        <v>33358.404499999997</v>
      </c>
      <c r="G37" s="251">
        <f t="shared" si="8"/>
        <v>143040.83849599998</v>
      </c>
      <c r="H37" s="300">
        <f t="shared" si="6"/>
        <v>667168.09</v>
      </c>
      <c r="I37" s="301">
        <v>490786.41</v>
      </c>
      <c r="J37" s="301">
        <v>33358.400000000001</v>
      </c>
      <c r="K37" s="248">
        <v>143023.28</v>
      </c>
      <c r="L37" s="806"/>
    </row>
    <row r="38" spans="1:13" s="91" customFormat="1" ht="15.75" outlineLevel="1" x14ac:dyDescent="0.25">
      <c r="A38" s="298"/>
      <c r="B38" s="261" t="s">
        <v>66</v>
      </c>
      <c r="C38" s="245">
        <v>837144.57</v>
      </c>
      <c r="D38" s="302">
        <f t="shared" si="5"/>
        <v>837144.57</v>
      </c>
      <c r="E38" s="301">
        <v>795287.34</v>
      </c>
      <c r="F38" s="301">
        <v>41857.230000000003</v>
      </c>
      <c r="G38" s="248"/>
      <c r="H38" s="300">
        <f t="shared" si="6"/>
        <v>0</v>
      </c>
      <c r="I38" s="301"/>
      <c r="J38" s="301"/>
      <c r="K38" s="248"/>
      <c r="L38" s="271" t="s">
        <v>872</v>
      </c>
      <c r="M38" s="728">
        <v>42642</v>
      </c>
    </row>
    <row r="39" spans="1:13" s="91" customFormat="1" ht="15.75" outlineLevel="1" x14ac:dyDescent="0.25">
      <c r="A39" s="298"/>
      <c r="B39" s="439" t="s">
        <v>555</v>
      </c>
      <c r="C39" s="245">
        <f>3880341.41+49244.6</f>
        <v>3929586.0100000002</v>
      </c>
      <c r="D39" s="300">
        <f>E39+F39+G39</f>
        <v>3929586.0100000002</v>
      </c>
      <c r="E39" s="250">
        <f>C39*0.7356</f>
        <v>2890603.4689560002</v>
      </c>
      <c r="F39" s="250">
        <f>C39*5%</f>
        <v>196479.30050000001</v>
      </c>
      <c r="G39" s="251">
        <f>C39-E39-F39</f>
        <v>842503.24054400006</v>
      </c>
      <c r="H39" s="300">
        <f t="shared" si="6"/>
        <v>3929586.01</v>
      </c>
      <c r="I39" s="301">
        <v>2890898.82</v>
      </c>
      <c r="J39" s="301">
        <v>196479.3</v>
      </c>
      <c r="K39" s="248">
        <v>842207.89</v>
      </c>
      <c r="L39" s="271" t="s">
        <v>677</v>
      </c>
    </row>
    <row r="40" spans="1:13" s="266" customFormat="1" ht="15.75" outlineLevel="1" x14ac:dyDescent="0.25">
      <c r="A40" s="308"/>
      <c r="B40" s="263" t="s">
        <v>557</v>
      </c>
      <c r="C40" s="284"/>
      <c r="D40" s="311">
        <f t="shared" si="5"/>
        <v>0</v>
      </c>
      <c r="E40" s="310"/>
      <c r="F40" s="310"/>
      <c r="G40" s="283"/>
      <c r="H40" s="309">
        <f t="shared" si="6"/>
        <v>0</v>
      </c>
      <c r="I40" s="310"/>
      <c r="J40" s="310"/>
      <c r="K40" s="283"/>
      <c r="L40" s="272"/>
    </row>
    <row r="41" spans="1:13" s="91" customFormat="1" ht="15.75" outlineLevel="1" x14ac:dyDescent="0.25">
      <c r="A41" s="298"/>
      <c r="B41" s="299" t="s">
        <v>67</v>
      </c>
      <c r="C41" s="245">
        <v>549734.52</v>
      </c>
      <c r="D41" s="302">
        <f>E41+F41+G41</f>
        <v>549734.52</v>
      </c>
      <c r="E41" s="250">
        <f>C41*0.7348</f>
        <v>403944.92529600003</v>
      </c>
      <c r="F41" s="250">
        <f>C41*5%</f>
        <v>27486.726000000002</v>
      </c>
      <c r="G41" s="251">
        <f>C41-E41-F41</f>
        <v>118302.86870399999</v>
      </c>
      <c r="H41" s="300">
        <f>I41+J41+K41</f>
        <v>549734.52</v>
      </c>
      <c r="I41" s="250">
        <v>403944.92</v>
      </c>
      <c r="J41" s="250">
        <v>27486.73</v>
      </c>
      <c r="K41" s="251">
        <v>118302.87</v>
      </c>
      <c r="L41" s="271" t="s">
        <v>630</v>
      </c>
    </row>
    <row r="42" spans="1:13" s="307" customFormat="1" ht="28.5" customHeight="1" x14ac:dyDescent="0.2">
      <c r="A42" s="303">
        <v>11</v>
      </c>
      <c r="B42" s="314" t="s">
        <v>358</v>
      </c>
      <c r="C42" s="285">
        <f>SUM(C43:C44)</f>
        <v>105116.56</v>
      </c>
      <c r="D42" s="227">
        <f>E42+F42+G42</f>
        <v>105116.56</v>
      </c>
      <c r="E42" s="86">
        <f>SUM(E43:E44)</f>
        <v>77323.741536000001</v>
      </c>
      <c r="F42" s="86">
        <f>SUM(F43:F44)</f>
        <v>5255.8280000000004</v>
      </c>
      <c r="G42" s="305">
        <f>SUM(G43:G44)</f>
        <v>22536.990463999995</v>
      </c>
      <c r="H42" s="227">
        <f>I42+J42+K42</f>
        <v>105116.56000000001</v>
      </c>
      <c r="I42" s="86">
        <f>SUM(I43:I44)</f>
        <v>77323.740000000005</v>
      </c>
      <c r="J42" s="86">
        <f>SUM(J43:J44)</f>
        <v>5255.83</v>
      </c>
      <c r="K42" s="305">
        <f>SUM(K43:K44)</f>
        <v>22536.99</v>
      </c>
      <c r="L42" s="306"/>
    </row>
    <row r="43" spans="1:13" s="266" customFormat="1" ht="15.75" outlineLevel="1" x14ac:dyDescent="0.25">
      <c r="A43" s="308"/>
      <c r="B43" s="312" t="s">
        <v>555</v>
      </c>
      <c r="C43" s="284"/>
      <c r="D43" s="309"/>
      <c r="E43" s="310"/>
      <c r="F43" s="310"/>
      <c r="G43" s="283"/>
      <c r="H43" s="309">
        <f t="shared" ref="H43:H44" si="10">I43+J43+K43</f>
        <v>0</v>
      </c>
      <c r="I43" s="310"/>
      <c r="J43" s="310"/>
      <c r="K43" s="283"/>
      <c r="L43" s="272"/>
    </row>
    <row r="44" spans="1:13" s="91" customFormat="1" ht="15.75" outlineLevel="1" x14ac:dyDescent="0.25">
      <c r="A44" s="298"/>
      <c r="B44" s="299" t="s">
        <v>67</v>
      </c>
      <c r="C44" s="245">
        <v>105116.56</v>
      </c>
      <c r="D44" s="300">
        <f>E44+F44+G44</f>
        <v>105116.56</v>
      </c>
      <c r="E44" s="250">
        <f>C44*0.7356</f>
        <v>77323.741536000001</v>
      </c>
      <c r="F44" s="250">
        <f>C44*5%</f>
        <v>5255.8280000000004</v>
      </c>
      <c r="G44" s="251">
        <f>C44-E44-F44</f>
        <v>22536.990463999995</v>
      </c>
      <c r="H44" s="300">
        <f t="shared" si="10"/>
        <v>105116.56000000001</v>
      </c>
      <c r="I44" s="301">
        <v>77323.740000000005</v>
      </c>
      <c r="J44" s="301">
        <v>5255.83</v>
      </c>
      <c r="K44" s="248">
        <v>22536.99</v>
      </c>
      <c r="L44" s="252" t="s">
        <v>659</v>
      </c>
    </row>
    <row r="45" spans="1:13" s="307" customFormat="1" ht="25.5" customHeight="1" x14ac:dyDescent="0.2">
      <c r="A45" s="303">
        <v>12</v>
      </c>
      <c r="B45" s="304" t="s">
        <v>346</v>
      </c>
      <c r="C45" s="285">
        <f>SUM(C46:C51)</f>
        <v>8851202.6399999987</v>
      </c>
      <c r="D45" s="227">
        <f>E45+F45+G45</f>
        <v>8851202.6399999987</v>
      </c>
      <c r="E45" s="86">
        <f>SUM(E46:E51)</f>
        <v>6510472.5691999998</v>
      </c>
      <c r="F45" s="86">
        <f>SUM(F46:F51)</f>
        <v>442560.13200000004</v>
      </c>
      <c r="G45" s="305">
        <f>SUM(G46:G51)</f>
        <v>1898169.9387999994</v>
      </c>
      <c r="H45" s="227">
        <f>I45+J45+K45</f>
        <v>8851202.6399999987</v>
      </c>
      <c r="I45" s="86">
        <f>SUM(I46:I51)</f>
        <v>6511088.5999999996</v>
      </c>
      <c r="J45" s="86">
        <f>SUM(J46:J51)</f>
        <v>442560.14</v>
      </c>
      <c r="K45" s="305">
        <f>SUM(K46:K51)</f>
        <v>1897553.9</v>
      </c>
      <c r="L45" s="306"/>
    </row>
    <row r="46" spans="1:13" s="91" customFormat="1" ht="15.75" outlineLevel="1" x14ac:dyDescent="0.25">
      <c r="A46" s="298"/>
      <c r="B46" s="261" t="s">
        <v>68</v>
      </c>
      <c r="C46" s="245">
        <f>1881078.43+33976.53+49109.62+77068.99</f>
        <v>2041233.57</v>
      </c>
      <c r="D46" s="300">
        <f t="shared" ref="D46:D49" si="11">E46+F46+G46</f>
        <v>2041233.5699999998</v>
      </c>
      <c r="E46" s="250">
        <f t="shared" ref="E46:E49" si="12">C46*0.7356</f>
        <v>1501531.4140920001</v>
      </c>
      <c r="F46" s="250">
        <f t="shared" ref="F46:F49" si="13">C46*5%</f>
        <v>102061.67850000001</v>
      </c>
      <c r="G46" s="251">
        <f t="shared" ref="G46:G49" si="14">C46-E46-F46</f>
        <v>437640.47740799992</v>
      </c>
      <c r="H46" s="300">
        <f t="shared" ref="H46:H90" si="15">I46+J46+K46</f>
        <v>2041233.5699999998</v>
      </c>
      <c r="I46" s="301">
        <v>1501681.95</v>
      </c>
      <c r="J46" s="301">
        <v>102061.68</v>
      </c>
      <c r="K46" s="248">
        <v>437489.94</v>
      </c>
      <c r="L46" s="804" t="s">
        <v>671</v>
      </c>
    </row>
    <row r="47" spans="1:13" s="91" customFormat="1" ht="15.75" outlineLevel="1" x14ac:dyDescent="0.25">
      <c r="A47" s="298"/>
      <c r="B47" s="261" t="s">
        <v>64</v>
      </c>
      <c r="C47" s="245">
        <f>4907593.22+8166.17</f>
        <v>4915759.3899999997</v>
      </c>
      <c r="D47" s="300">
        <f t="shared" si="11"/>
        <v>4915759.3899999997</v>
      </c>
      <c r="E47" s="250">
        <f t="shared" si="12"/>
        <v>3616032.6072839997</v>
      </c>
      <c r="F47" s="250">
        <f t="shared" si="13"/>
        <v>245787.96950000001</v>
      </c>
      <c r="G47" s="251">
        <f t="shared" si="14"/>
        <v>1053938.8132159999</v>
      </c>
      <c r="H47" s="300">
        <f t="shared" si="15"/>
        <v>4915759.3900000006</v>
      </c>
      <c r="I47" s="301">
        <v>3616401.93</v>
      </c>
      <c r="J47" s="301">
        <v>245787.97</v>
      </c>
      <c r="K47" s="248">
        <v>1053569.49</v>
      </c>
      <c r="L47" s="805"/>
    </row>
    <row r="48" spans="1:13" s="91" customFormat="1" ht="15.75" outlineLevel="1" x14ac:dyDescent="0.25">
      <c r="A48" s="298"/>
      <c r="B48" s="261" t="s">
        <v>65</v>
      </c>
      <c r="C48" s="245">
        <v>529012.81000000006</v>
      </c>
      <c r="D48" s="300">
        <f t="shared" si="11"/>
        <v>529012.81000000006</v>
      </c>
      <c r="E48" s="250">
        <f t="shared" si="12"/>
        <v>389141.82303600007</v>
      </c>
      <c r="F48" s="250">
        <f t="shared" si="13"/>
        <v>26450.640500000005</v>
      </c>
      <c r="G48" s="251">
        <f t="shared" si="14"/>
        <v>113420.34646399997</v>
      </c>
      <c r="H48" s="300">
        <f t="shared" si="15"/>
        <v>529012.81000000006</v>
      </c>
      <c r="I48" s="301">
        <v>389181.58</v>
      </c>
      <c r="J48" s="301">
        <v>26450.639999999999</v>
      </c>
      <c r="K48" s="248">
        <v>113380.59</v>
      </c>
      <c r="L48" s="805"/>
    </row>
    <row r="49" spans="1:12" s="91" customFormat="1" ht="15.75" outlineLevel="1" x14ac:dyDescent="0.25">
      <c r="A49" s="298"/>
      <c r="B49" s="261" t="s">
        <v>66</v>
      </c>
      <c r="C49" s="245">
        <f>672553.94+10826.97+91699.98</f>
        <v>775080.8899999999</v>
      </c>
      <c r="D49" s="300">
        <f t="shared" si="11"/>
        <v>775080.8899999999</v>
      </c>
      <c r="E49" s="250">
        <f t="shared" si="12"/>
        <v>570149.50268399995</v>
      </c>
      <c r="F49" s="250">
        <f t="shared" si="13"/>
        <v>38754.044499999996</v>
      </c>
      <c r="G49" s="251">
        <f t="shared" si="14"/>
        <v>166177.34281599996</v>
      </c>
      <c r="H49" s="300">
        <f t="shared" si="15"/>
        <v>775080.89000000013</v>
      </c>
      <c r="I49" s="301">
        <v>570205.92000000004</v>
      </c>
      <c r="J49" s="301">
        <v>38754.050000000003</v>
      </c>
      <c r="K49" s="248">
        <v>166120.92000000001</v>
      </c>
      <c r="L49" s="806"/>
    </row>
    <row r="50" spans="1:12" s="266" customFormat="1" ht="15.75" outlineLevel="1" x14ac:dyDescent="0.25">
      <c r="A50" s="308"/>
      <c r="B50" s="263" t="s">
        <v>557</v>
      </c>
      <c r="C50" s="284"/>
      <c r="D50" s="309"/>
      <c r="E50" s="310"/>
      <c r="F50" s="310"/>
      <c r="G50" s="283"/>
      <c r="H50" s="309">
        <f t="shared" si="15"/>
        <v>0</v>
      </c>
      <c r="I50" s="310"/>
      <c r="J50" s="310"/>
      <c r="K50" s="283"/>
      <c r="L50" s="272"/>
    </row>
    <row r="51" spans="1:12" s="91" customFormat="1" ht="15.75" outlineLevel="1" x14ac:dyDescent="0.25">
      <c r="A51" s="298"/>
      <c r="B51" s="299" t="s">
        <v>67</v>
      </c>
      <c r="C51" s="245">
        <v>590115.98</v>
      </c>
      <c r="D51" s="302">
        <f>E51+F51+G51</f>
        <v>590115.98</v>
      </c>
      <c r="E51" s="250">
        <f>C51*0.7348</f>
        <v>433617.22210399999</v>
      </c>
      <c r="F51" s="250">
        <f>C51*5%</f>
        <v>29505.798999999999</v>
      </c>
      <c r="G51" s="251">
        <f>C51-E51-F51</f>
        <v>126992.958896</v>
      </c>
      <c r="H51" s="300">
        <f t="shared" si="15"/>
        <v>590115.98</v>
      </c>
      <c r="I51" s="301">
        <v>433617.22</v>
      </c>
      <c r="J51" s="301">
        <v>29505.8</v>
      </c>
      <c r="K51" s="248">
        <v>126992.96000000001</v>
      </c>
      <c r="L51" s="271" t="s">
        <v>630</v>
      </c>
    </row>
    <row r="52" spans="1:12" s="266" customFormat="1" ht="33.75" customHeight="1" outlineLevel="1" x14ac:dyDescent="0.25">
      <c r="A52" s="303">
        <v>13</v>
      </c>
      <c r="B52" s="304" t="s">
        <v>616</v>
      </c>
      <c r="C52" s="285">
        <f>SUM(C53:C56)</f>
        <v>7283909.4699999997</v>
      </c>
      <c r="D52" s="227">
        <f>E52+F52+G52</f>
        <v>7283909.4699999997</v>
      </c>
      <c r="E52" s="86">
        <f>SUM(E53:E56)</f>
        <v>5465489.8483999996</v>
      </c>
      <c r="F52" s="86">
        <f>SUM(F53:F56)</f>
        <v>354465.33</v>
      </c>
      <c r="G52" s="86">
        <f>SUM(G53:G56)</f>
        <v>1463954.2915999999</v>
      </c>
      <c r="H52" s="227">
        <f>I52+J52+K52</f>
        <v>6070031</v>
      </c>
      <c r="I52" s="86">
        <f>SUM(I53:I56)</f>
        <v>4465114.8</v>
      </c>
      <c r="J52" s="86">
        <f>SUM(J53:J56)</f>
        <v>303501.55</v>
      </c>
      <c r="K52" s="305">
        <f>SUM(K53:K56)</f>
        <v>1301414.6499999999</v>
      </c>
      <c r="L52" s="272"/>
    </row>
    <row r="53" spans="1:12" s="91" customFormat="1" ht="15.75" outlineLevel="1" x14ac:dyDescent="0.25">
      <c r="A53" s="298"/>
      <c r="B53" s="261" t="s">
        <v>68</v>
      </c>
      <c r="C53" s="245">
        <v>758114</v>
      </c>
      <c r="D53" s="300">
        <f>E53+F53+G53</f>
        <v>758114</v>
      </c>
      <c r="E53" s="250">
        <f>C53*0.7356</f>
        <v>557668.65840000007</v>
      </c>
      <c r="F53" s="250">
        <f>C53*5%</f>
        <v>37905.700000000004</v>
      </c>
      <c r="G53" s="251">
        <f>C53-E53-F53</f>
        <v>162539.64159999992</v>
      </c>
      <c r="H53" s="300">
        <f t="shared" si="15"/>
        <v>0</v>
      </c>
      <c r="I53" s="301"/>
      <c r="J53" s="301"/>
      <c r="K53" s="248"/>
      <c r="L53" s="271" t="s">
        <v>670</v>
      </c>
    </row>
    <row r="54" spans="1:12" s="266" customFormat="1" ht="15.75" outlineLevel="1" x14ac:dyDescent="0.25">
      <c r="A54" s="308"/>
      <c r="B54" s="263" t="s">
        <v>65</v>
      </c>
      <c r="C54" s="284"/>
      <c r="D54" s="309"/>
      <c r="E54" s="310"/>
      <c r="F54" s="310"/>
      <c r="G54" s="283"/>
      <c r="H54" s="309">
        <f t="shared" si="15"/>
        <v>0</v>
      </c>
      <c r="I54" s="310"/>
      <c r="J54" s="310"/>
      <c r="K54" s="283"/>
      <c r="L54" s="272"/>
    </row>
    <row r="55" spans="1:12" s="266" customFormat="1" ht="15.75" outlineLevel="1" x14ac:dyDescent="0.25">
      <c r="A55" s="308"/>
      <c r="B55" s="263" t="s">
        <v>66</v>
      </c>
      <c r="C55" s="284"/>
      <c r="D55" s="309"/>
      <c r="E55" s="310"/>
      <c r="F55" s="310"/>
      <c r="G55" s="283"/>
      <c r="H55" s="309">
        <f t="shared" si="15"/>
        <v>0</v>
      </c>
      <c r="I55" s="310"/>
      <c r="J55" s="310"/>
      <c r="K55" s="283"/>
      <c r="L55" s="272"/>
    </row>
    <row r="56" spans="1:12" s="91" customFormat="1" ht="15.75" outlineLevel="1" x14ac:dyDescent="0.25">
      <c r="A56" s="298"/>
      <c r="B56" s="261" t="s">
        <v>557</v>
      </c>
      <c r="C56" s="245">
        <f>6070031+455764.47</f>
        <v>6525795.4699999997</v>
      </c>
      <c r="D56" s="300">
        <f>E56+F56+G56</f>
        <v>6525795.4699999988</v>
      </c>
      <c r="E56" s="250">
        <f>4465114.8+442706.39</f>
        <v>4907821.1899999995</v>
      </c>
      <c r="F56" s="250">
        <f>303501.55+13058.08</f>
        <v>316559.63</v>
      </c>
      <c r="G56" s="251">
        <f>1301414.65</f>
        <v>1301414.6499999999</v>
      </c>
      <c r="H56" s="300">
        <f t="shared" si="15"/>
        <v>6070031</v>
      </c>
      <c r="I56" s="301">
        <v>4465114.8</v>
      </c>
      <c r="J56" s="301">
        <v>303501.55</v>
      </c>
      <c r="K56" s="248">
        <v>1301414.6499999999</v>
      </c>
      <c r="L56" s="271" t="s">
        <v>670</v>
      </c>
    </row>
    <row r="57" spans="1:12" s="307" customFormat="1" ht="26.25" customHeight="1" x14ac:dyDescent="0.2">
      <c r="A57" s="303">
        <v>14</v>
      </c>
      <c r="B57" s="304" t="s">
        <v>347</v>
      </c>
      <c r="C57" s="285">
        <f>SUM(C58:C64)</f>
        <v>10438246.069999998</v>
      </c>
      <c r="D57" s="227">
        <f>E57+F57+G57</f>
        <v>10438246.07</v>
      </c>
      <c r="E57" s="86">
        <f>SUM(E58:E64)</f>
        <v>7677906.2314920006</v>
      </c>
      <c r="F57" s="86">
        <f>SUM(F58:F64)</f>
        <v>521912.30349999992</v>
      </c>
      <c r="G57" s="305">
        <f>SUM(G58:G64)</f>
        <v>2238427.5350079993</v>
      </c>
      <c r="H57" s="227">
        <f>I57+J57+K57</f>
        <v>10438246.07</v>
      </c>
      <c r="I57" s="86">
        <f>SUM(I58:I64)</f>
        <v>7678466.8899999997</v>
      </c>
      <c r="J57" s="86">
        <f>SUM(J58:J64)</f>
        <v>521912.3</v>
      </c>
      <c r="K57" s="305">
        <f>SUM(K58:K64)</f>
        <v>2237866.88</v>
      </c>
      <c r="L57" s="306"/>
    </row>
    <row r="58" spans="1:12" s="91" customFormat="1" ht="15.75" outlineLevel="1" x14ac:dyDescent="0.25">
      <c r="A58" s="298"/>
      <c r="B58" s="261" t="s">
        <v>68</v>
      </c>
      <c r="C58" s="245">
        <v>1313404.08</v>
      </c>
      <c r="D58" s="300">
        <f>E58+F58+G58</f>
        <v>1313404.08</v>
      </c>
      <c r="E58" s="250">
        <f>C58*0.7356</f>
        <v>966140.04124800011</v>
      </c>
      <c r="F58" s="250">
        <f>C58*5%</f>
        <v>65670.204000000012</v>
      </c>
      <c r="G58" s="251">
        <f>C58-E58-F58</f>
        <v>281593.83475199994</v>
      </c>
      <c r="H58" s="300">
        <f t="shared" si="15"/>
        <v>1313404.08</v>
      </c>
      <c r="I58" s="301">
        <v>966238.76</v>
      </c>
      <c r="J58" s="301">
        <v>65670.2</v>
      </c>
      <c r="K58" s="248">
        <v>281495.12</v>
      </c>
      <c r="L58" s="804" t="s">
        <v>671</v>
      </c>
    </row>
    <row r="59" spans="1:12" s="91" customFormat="1" ht="15.75" outlineLevel="1" x14ac:dyDescent="0.25">
      <c r="A59" s="298"/>
      <c r="B59" s="261" t="s">
        <v>64</v>
      </c>
      <c r="C59" s="245">
        <v>3835380.6999999997</v>
      </c>
      <c r="D59" s="300">
        <f t="shared" ref="D59:D60" si="16">E59+F59+G59</f>
        <v>3835380.6999999997</v>
      </c>
      <c r="E59" s="250">
        <f t="shared" ref="E59:E60" si="17">C59*0.7356</f>
        <v>2821306.0429199999</v>
      </c>
      <c r="F59" s="250">
        <f t="shared" ref="F59:F60" si="18">C59*5%</f>
        <v>191769.035</v>
      </c>
      <c r="G59" s="251">
        <f t="shared" ref="G59:G60" si="19">C59-E59-F59</f>
        <v>822305.62207999977</v>
      </c>
      <c r="H59" s="300">
        <f t="shared" si="15"/>
        <v>3835380.7</v>
      </c>
      <c r="I59" s="301">
        <v>2821594.31</v>
      </c>
      <c r="J59" s="301">
        <v>191769.04</v>
      </c>
      <c r="K59" s="248">
        <v>822017.35</v>
      </c>
      <c r="L59" s="805"/>
    </row>
    <row r="60" spans="1:12" s="91" customFormat="1" ht="15.75" outlineLevel="1" x14ac:dyDescent="0.25">
      <c r="A60" s="298"/>
      <c r="B60" s="261" t="s">
        <v>65</v>
      </c>
      <c r="C60" s="245">
        <v>527651.41</v>
      </c>
      <c r="D60" s="300">
        <f t="shared" si="16"/>
        <v>527651.41</v>
      </c>
      <c r="E60" s="250">
        <f t="shared" si="17"/>
        <v>388140.37719600002</v>
      </c>
      <c r="F60" s="250">
        <f t="shared" si="18"/>
        <v>26382.570500000002</v>
      </c>
      <c r="G60" s="251">
        <f t="shared" si="19"/>
        <v>113128.46230400002</v>
      </c>
      <c r="H60" s="300">
        <f t="shared" si="15"/>
        <v>527651.41</v>
      </c>
      <c r="I60" s="301">
        <v>388180.04</v>
      </c>
      <c r="J60" s="301">
        <v>26382.57</v>
      </c>
      <c r="K60" s="248">
        <v>113088.8</v>
      </c>
      <c r="L60" s="805"/>
    </row>
    <row r="61" spans="1:12" s="91" customFormat="1" ht="15.75" outlineLevel="1" x14ac:dyDescent="0.25">
      <c r="A61" s="298"/>
      <c r="B61" s="261" t="s">
        <v>66</v>
      </c>
      <c r="C61" s="245">
        <v>544456.47</v>
      </c>
      <c r="D61" s="300">
        <f>E61+F61+G61</f>
        <v>544456.47</v>
      </c>
      <c r="E61" s="250">
        <f>C61*0.7356</f>
        <v>400502.17933199997</v>
      </c>
      <c r="F61" s="250">
        <f>C61*5%</f>
        <v>27222.823499999999</v>
      </c>
      <c r="G61" s="251">
        <f>C61-E61-F61</f>
        <v>116731.467168</v>
      </c>
      <c r="H61" s="300">
        <f t="shared" si="15"/>
        <v>544456.47</v>
      </c>
      <c r="I61" s="301">
        <v>400543.1</v>
      </c>
      <c r="J61" s="301">
        <v>27222.82</v>
      </c>
      <c r="K61" s="248">
        <v>116690.55</v>
      </c>
      <c r="L61" s="806"/>
    </row>
    <row r="62" spans="1:12" s="91" customFormat="1" ht="15.75" outlineLevel="1" x14ac:dyDescent="0.25">
      <c r="A62" s="298"/>
      <c r="B62" s="261" t="s">
        <v>555</v>
      </c>
      <c r="C62" s="245">
        <f>3594035.03+38846.38</f>
        <v>3632881.4099999997</v>
      </c>
      <c r="D62" s="300">
        <f>E62+F62+G62</f>
        <v>3632881.4099999997</v>
      </c>
      <c r="E62" s="250">
        <f>C62*0.7356</f>
        <v>2672347.565196</v>
      </c>
      <c r="F62" s="250">
        <f>C62*5%</f>
        <v>181644.0705</v>
      </c>
      <c r="G62" s="251">
        <f>C62-E62-F62</f>
        <v>778889.77430399961</v>
      </c>
      <c r="H62" s="300">
        <f t="shared" si="15"/>
        <v>3632881.4099999997</v>
      </c>
      <c r="I62" s="301">
        <v>2672440.65</v>
      </c>
      <c r="J62" s="301">
        <v>181644.07</v>
      </c>
      <c r="K62" s="248">
        <v>778796.69</v>
      </c>
      <c r="L62" s="271" t="s">
        <v>692</v>
      </c>
    </row>
    <row r="63" spans="1:12" s="266" customFormat="1" ht="15.75" outlineLevel="1" x14ac:dyDescent="0.25">
      <c r="A63" s="308"/>
      <c r="B63" s="263" t="s">
        <v>557</v>
      </c>
      <c r="C63" s="284"/>
      <c r="D63" s="309"/>
      <c r="E63" s="310"/>
      <c r="F63" s="310"/>
      <c r="G63" s="283"/>
      <c r="H63" s="309">
        <f t="shared" si="15"/>
        <v>0</v>
      </c>
      <c r="I63" s="310"/>
      <c r="J63" s="310"/>
      <c r="K63" s="283"/>
      <c r="L63" s="272"/>
    </row>
    <row r="64" spans="1:12" s="91" customFormat="1" ht="15.75" outlineLevel="1" x14ac:dyDescent="0.25">
      <c r="A64" s="298"/>
      <c r="B64" s="299" t="s">
        <v>67</v>
      </c>
      <c r="C64" s="245">
        <v>584472</v>
      </c>
      <c r="D64" s="302">
        <f>E64+F64+G64</f>
        <v>584472</v>
      </c>
      <c r="E64" s="250">
        <f>C64*0.7348</f>
        <v>429470.02559999999</v>
      </c>
      <c r="F64" s="250">
        <f>C64*5%</f>
        <v>29223.600000000002</v>
      </c>
      <c r="G64" s="251">
        <f>C64-E64-F64</f>
        <v>125778.3744</v>
      </c>
      <c r="H64" s="300">
        <f t="shared" si="15"/>
        <v>584472</v>
      </c>
      <c r="I64" s="301">
        <v>429470.03</v>
      </c>
      <c r="J64" s="301">
        <v>29223.599999999999</v>
      </c>
      <c r="K64" s="248">
        <v>125778.37</v>
      </c>
      <c r="L64" s="271" t="s">
        <v>630</v>
      </c>
    </row>
    <row r="65" spans="1:13" s="307" customFormat="1" ht="23.25" customHeight="1" x14ac:dyDescent="0.2">
      <c r="A65" s="303">
        <v>15</v>
      </c>
      <c r="B65" s="304" t="s">
        <v>348</v>
      </c>
      <c r="C65" s="285">
        <f>SUM(C66:C68)</f>
        <v>6305687.8200000003</v>
      </c>
      <c r="D65" s="227">
        <f>E65+F65+G65</f>
        <v>6305687.8199999994</v>
      </c>
      <c r="E65" s="86">
        <f>SUM(E66:E68)</f>
        <v>4638305.7686320003</v>
      </c>
      <c r="F65" s="86">
        <f>SUM(F66:F68)</f>
        <v>315284.391</v>
      </c>
      <c r="G65" s="305">
        <f>SUM(G66:G68)</f>
        <v>1352097.6603679995</v>
      </c>
      <c r="H65" s="315">
        <f>I65+J65+K65</f>
        <v>6305687.8199999994</v>
      </c>
      <c r="I65" s="86">
        <f>SUM(I66:I68)</f>
        <v>4638463.96</v>
      </c>
      <c r="J65" s="86">
        <f>SUM(J66:J68)</f>
        <v>315284.39</v>
      </c>
      <c r="K65" s="305">
        <f>SUM(K66:K68)</f>
        <v>1351939.47</v>
      </c>
      <c r="L65" s="306"/>
    </row>
    <row r="66" spans="1:13" s="91" customFormat="1" ht="15.75" outlineLevel="1" x14ac:dyDescent="0.25">
      <c r="A66" s="298"/>
      <c r="B66" s="499" t="s">
        <v>555</v>
      </c>
      <c r="C66" s="245">
        <f>6048048.29+59899.83</f>
        <v>6107948.1200000001</v>
      </c>
      <c r="D66" s="300">
        <f>E66+F66+G66</f>
        <v>6107948.120000001</v>
      </c>
      <c r="E66" s="250">
        <f>C66*0.7356</f>
        <v>4493006.6370720007</v>
      </c>
      <c r="F66" s="250">
        <f>C66*5%</f>
        <v>305397.40600000002</v>
      </c>
      <c r="G66" s="251">
        <f>C66-E66-F66</f>
        <v>1309544.0769279995</v>
      </c>
      <c r="H66" s="300">
        <f t="shared" si="15"/>
        <v>6107948.1200000001</v>
      </c>
      <c r="I66" s="301">
        <v>4493164.83</v>
      </c>
      <c r="J66" s="301">
        <v>305397.40000000002</v>
      </c>
      <c r="K66" s="248">
        <v>1309385.8899999999</v>
      </c>
      <c r="L66" s="271" t="s">
        <v>692</v>
      </c>
    </row>
    <row r="67" spans="1:13" s="266" customFormat="1" ht="15.75" outlineLevel="1" x14ac:dyDescent="0.25">
      <c r="A67" s="308"/>
      <c r="B67" s="313" t="s">
        <v>557</v>
      </c>
      <c r="C67" s="284"/>
      <c r="D67" s="309"/>
      <c r="E67" s="310"/>
      <c r="F67" s="310"/>
      <c r="G67" s="283"/>
      <c r="H67" s="309">
        <f t="shared" si="15"/>
        <v>0</v>
      </c>
      <c r="I67" s="310"/>
      <c r="J67" s="310"/>
      <c r="K67" s="283"/>
      <c r="L67" s="272"/>
    </row>
    <row r="68" spans="1:13" s="91" customFormat="1" ht="15.75" outlineLevel="1" x14ac:dyDescent="0.25">
      <c r="A68" s="298"/>
      <c r="B68" s="299" t="s">
        <v>67</v>
      </c>
      <c r="C68" s="245">
        <v>197739.7</v>
      </c>
      <c r="D68" s="302">
        <f>E68+F68+G68</f>
        <v>197739.7</v>
      </c>
      <c r="E68" s="250">
        <f>C68*0.7348</f>
        <v>145299.13156000001</v>
      </c>
      <c r="F68" s="250">
        <f>C68*5%</f>
        <v>9886.9850000000006</v>
      </c>
      <c r="G68" s="251">
        <f>C68-E68-F68</f>
        <v>42553.583440000002</v>
      </c>
      <c r="H68" s="300">
        <f t="shared" si="15"/>
        <v>197739.7</v>
      </c>
      <c r="I68" s="301">
        <v>145299.13</v>
      </c>
      <c r="J68" s="301">
        <v>9886.99</v>
      </c>
      <c r="K68" s="248">
        <v>42553.58</v>
      </c>
      <c r="L68" s="271" t="s">
        <v>630</v>
      </c>
    </row>
    <row r="69" spans="1:13" s="307" customFormat="1" ht="23.25" customHeight="1" x14ac:dyDescent="0.2">
      <c r="A69" s="303">
        <v>16</v>
      </c>
      <c r="B69" s="304" t="s">
        <v>349</v>
      </c>
      <c r="C69" s="285">
        <f>SUM(C70:C72)</f>
        <v>7585686.96</v>
      </c>
      <c r="D69" s="227">
        <f>E69+F69+G69</f>
        <v>7585686.9600000009</v>
      </c>
      <c r="E69" s="86">
        <f>SUM(E70:E72)</f>
        <v>5579869.9362000003</v>
      </c>
      <c r="F69" s="86">
        <f>SUM(F70:F72)</f>
        <v>379284.34800000006</v>
      </c>
      <c r="G69" s="305">
        <f>SUM(G70:G72)</f>
        <v>1626532.6758000001</v>
      </c>
      <c r="H69" s="227">
        <f>I69+J69+K69</f>
        <v>7585686.96</v>
      </c>
      <c r="I69" s="86">
        <f>SUM(I70:I72)</f>
        <v>5580031.3300000001</v>
      </c>
      <c r="J69" s="86">
        <f>SUM(J70:J72)</f>
        <v>379284.35</v>
      </c>
      <c r="K69" s="305">
        <f>SUM(K70:K72)</f>
        <v>1626371.28</v>
      </c>
      <c r="L69" s="306"/>
    </row>
    <row r="70" spans="1:13" s="91" customFormat="1" ht="15.75" outlineLevel="1" x14ac:dyDescent="0.25">
      <c r="A70" s="298"/>
      <c r="B70" s="499" t="s">
        <v>555</v>
      </c>
      <c r="C70" s="245">
        <f>7282947.76+100999.73</f>
        <v>7383947.4900000002</v>
      </c>
      <c r="D70" s="300">
        <f>E70+F70+G70</f>
        <v>7383947.4900000002</v>
      </c>
      <c r="E70" s="250">
        <f>C70*0.7356</f>
        <v>5431631.7736440003</v>
      </c>
      <c r="F70" s="250">
        <f>C70*5%</f>
        <v>369197.37450000003</v>
      </c>
      <c r="G70" s="251">
        <f>C70-E70-F70</f>
        <v>1583118.341856</v>
      </c>
      <c r="H70" s="300">
        <f t="shared" si="15"/>
        <v>7383947.4900000002</v>
      </c>
      <c r="I70" s="301">
        <v>5431793.1699999999</v>
      </c>
      <c r="J70" s="301">
        <v>369197.38</v>
      </c>
      <c r="K70" s="248">
        <v>1582956.94</v>
      </c>
      <c r="L70" s="271" t="s">
        <v>693</v>
      </c>
    </row>
    <row r="71" spans="1:13" s="266" customFormat="1" ht="15.75" outlineLevel="1" x14ac:dyDescent="0.25">
      <c r="A71" s="308"/>
      <c r="B71" s="313" t="s">
        <v>557</v>
      </c>
      <c r="C71" s="284"/>
      <c r="D71" s="309"/>
      <c r="E71" s="310"/>
      <c r="F71" s="310"/>
      <c r="G71" s="283"/>
      <c r="H71" s="309">
        <f t="shared" si="15"/>
        <v>0</v>
      </c>
      <c r="I71" s="310"/>
      <c r="J71" s="310"/>
      <c r="K71" s="283"/>
      <c r="L71" s="272"/>
    </row>
    <row r="72" spans="1:13" s="91" customFormat="1" ht="15.75" outlineLevel="1" x14ac:dyDescent="0.25">
      <c r="A72" s="298"/>
      <c r="B72" s="299" t="s">
        <v>67</v>
      </c>
      <c r="C72" s="245">
        <v>201739.47</v>
      </c>
      <c r="D72" s="302">
        <f>E72+F72+G72</f>
        <v>201739.47</v>
      </c>
      <c r="E72" s="250">
        <f>C72*0.7348</f>
        <v>148238.162556</v>
      </c>
      <c r="F72" s="250">
        <f>C72*5%</f>
        <v>10086.9735</v>
      </c>
      <c r="G72" s="251">
        <f>C72-E72-F72</f>
        <v>43414.333944000005</v>
      </c>
      <c r="H72" s="300">
        <f t="shared" si="15"/>
        <v>201739.47</v>
      </c>
      <c r="I72" s="301">
        <v>148238.16</v>
      </c>
      <c r="J72" s="301">
        <v>10086.969999999999</v>
      </c>
      <c r="K72" s="248">
        <v>43414.34</v>
      </c>
      <c r="L72" s="271" t="s">
        <v>630</v>
      </c>
    </row>
    <row r="73" spans="1:13" s="307" customFormat="1" ht="25.5" customHeight="1" x14ac:dyDescent="0.2">
      <c r="A73" s="303">
        <v>17</v>
      </c>
      <c r="B73" s="304" t="s">
        <v>350</v>
      </c>
      <c r="C73" s="285">
        <f>SUM(C74:C75)</f>
        <v>95178.92</v>
      </c>
      <c r="D73" s="227">
        <f>E73+F73+G73</f>
        <v>95178.92</v>
      </c>
      <c r="E73" s="86">
        <f>SUM(E74:E75)</f>
        <v>69937.470415999996</v>
      </c>
      <c r="F73" s="86">
        <f>SUM(F74:F75)</f>
        <v>4758.9459999999999</v>
      </c>
      <c r="G73" s="305">
        <f>SUM(G74:G75)</f>
        <v>20482.503584000002</v>
      </c>
      <c r="H73" s="227">
        <f>I73+J73+K73</f>
        <v>95178.92</v>
      </c>
      <c r="I73" s="86">
        <f>SUM(I74:I75)</f>
        <v>69937.47</v>
      </c>
      <c r="J73" s="86">
        <f>SUM(J74:J75)</f>
        <v>4758.95</v>
      </c>
      <c r="K73" s="305">
        <f>SUM(K74:K75)</f>
        <v>20482.5</v>
      </c>
      <c r="L73" s="306"/>
    </row>
    <row r="74" spans="1:13" s="266" customFormat="1" ht="15.75" outlineLevel="1" x14ac:dyDescent="0.25">
      <c r="A74" s="308"/>
      <c r="B74" s="313" t="s">
        <v>557</v>
      </c>
      <c r="C74" s="284"/>
      <c r="D74" s="309"/>
      <c r="E74" s="310"/>
      <c r="F74" s="310"/>
      <c r="G74" s="283"/>
      <c r="H74" s="309">
        <f t="shared" si="15"/>
        <v>0</v>
      </c>
      <c r="I74" s="310"/>
      <c r="J74" s="310"/>
      <c r="K74" s="283"/>
      <c r="L74" s="272"/>
    </row>
    <row r="75" spans="1:13" s="91" customFormat="1" ht="15.75" outlineLevel="1" x14ac:dyDescent="0.25">
      <c r="A75" s="298"/>
      <c r="B75" s="299" t="s">
        <v>67</v>
      </c>
      <c r="C75" s="245">
        <v>95178.92</v>
      </c>
      <c r="D75" s="302">
        <f>E75+F75+G75</f>
        <v>95178.92</v>
      </c>
      <c r="E75" s="250">
        <f>C75*0.7348</f>
        <v>69937.470415999996</v>
      </c>
      <c r="F75" s="250">
        <f>C75*5%</f>
        <v>4758.9459999999999</v>
      </c>
      <c r="G75" s="251">
        <f>C75-E75-F75</f>
        <v>20482.503584000002</v>
      </c>
      <c r="H75" s="300">
        <f t="shared" si="15"/>
        <v>95178.92</v>
      </c>
      <c r="I75" s="301">
        <v>69937.47</v>
      </c>
      <c r="J75" s="301">
        <v>4758.95</v>
      </c>
      <c r="K75" s="248">
        <v>20482.5</v>
      </c>
      <c r="L75" s="271" t="s">
        <v>630</v>
      </c>
    </row>
    <row r="76" spans="1:13" s="307" customFormat="1" ht="27" customHeight="1" x14ac:dyDescent="0.2">
      <c r="A76" s="303">
        <v>18</v>
      </c>
      <c r="B76" s="304" t="s">
        <v>351</v>
      </c>
      <c r="C76" s="285">
        <f>SUM(C77:C82)</f>
        <v>1601103.09</v>
      </c>
      <c r="D76" s="227">
        <f>E76+F76+G76</f>
        <v>1601103.09</v>
      </c>
      <c r="E76" s="86">
        <f>SUM(E77:E82)</f>
        <v>1273901.6592999999</v>
      </c>
      <c r="F76" s="86">
        <f>SUM(F77:F82)</f>
        <v>80055.152499999997</v>
      </c>
      <c r="G76" s="305">
        <f>SUM(G77:G82)</f>
        <v>247146.2782</v>
      </c>
      <c r="H76" s="227">
        <f>I76+J76+K76</f>
        <v>530522.25</v>
      </c>
      <c r="I76" s="86">
        <f>SUM(I77:I82)</f>
        <v>389827.75</v>
      </c>
      <c r="J76" s="86">
        <f>SUM(J77:J82)</f>
        <v>26526.11</v>
      </c>
      <c r="K76" s="305">
        <f>SUM(K77:K82)</f>
        <v>114168.39</v>
      </c>
      <c r="L76" s="306"/>
    </row>
    <row r="77" spans="1:13" s="266" customFormat="1" ht="15.75" outlineLevel="1" x14ac:dyDescent="0.25">
      <c r="A77" s="308"/>
      <c r="B77" s="313" t="s">
        <v>68</v>
      </c>
      <c r="C77" s="284"/>
      <c r="D77" s="309"/>
      <c r="E77" s="310"/>
      <c r="F77" s="310"/>
      <c r="G77" s="283"/>
      <c r="H77" s="309">
        <f t="shared" si="15"/>
        <v>0</v>
      </c>
      <c r="I77" s="310"/>
      <c r="J77" s="310"/>
      <c r="K77" s="283"/>
      <c r="L77" s="272"/>
    </row>
    <row r="78" spans="1:13" s="266" customFormat="1" ht="15.75" outlineLevel="1" x14ac:dyDescent="0.25">
      <c r="A78" s="308"/>
      <c r="B78" s="263" t="s">
        <v>64</v>
      </c>
      <c r="C78" s="284"/>
      <c r="D78" s="309"/>
      <c r="E78" s="310"/>
      <c r="F78" s="310"/>
      <c r="G78" s="283"/>
      <c r="H78" s="309">
        <f t="shared" si="15"/>
        <v>0</v>
      </c>
      <c r="I78" s="310"/>
      <c r="J78" s="310"/>
      <c r="K78" s="283"/>
      <c r="L78" s="272"/>
    </row>
    <row r="79" spans="1:13" s="266" customFormat="1" ht="15.75" outlineLevel="1" x14ac:dyDescent="0.25">
      <c r="A79" s="308"/>
      <c r="B79" s="313" t="s">
        <v>65</v>
      </c>
      <c r="C79" s="284"/>
      <c r="D79" s="309"/>
      <c r="E79" s="310"/>
      <c r="F79" s="310"/>
      <c r="G79" s="283"/>
      <c r="H79" s="309">
        <f t="shared" si="15"/>
        <v>0</v>
      </c>
      <c r="I79" s="310"/>
      <c r="J79" s="310"/>
      <c r="K79" s="283"/>
      <c r="L79" s="272"/>
    </row>
    <row r="80" spans="1:13" s="91" customFormat="1" ht="15.75" outlineLevel="1" x14ac:dyDescent="0.25">
      <c r="A80" s="298"/>
      <c r="B80" s="499" t="s">
        <v>66</v>
      </c>
      <c r="C80" s="245">
        <v>1070580.8400000001</v>
      </c>
      <c r="D80" s="302">
        <f>E80+F80+G80</f>
        <v>1070580.8400000001</v>
      </c>
      <c r="E80" s="301">
        <v>884073.91</v>
      </c>
      <c r="F80" s="301">
        <v>53529.04</v>
      </c>
      <c r="G80" s="248">
        <v>132977.89000000001</v>
      </c>
      <c r="H80" s="300">
        <f t="shared" si="15"/>
        <v>0</v>
      </c>
      <c r="I80" s="301"/>
      <c r="J80" s="301"/>
      <c r="K80" s="248"/>
      <c r="L80" s="271" t="s">
        <v>872</v>
      </c>
      <c r="M80" s="728">
        <v>42642</v>
      </c>
    </row>
    <row r="81" spans="1:13" s="266" customFormat="1" ht="15.75" outlineLevel="1" x14ac:dyDescent="0.25">
      <c r="A81" s="308"/>
      <c r="B81" s="313" t="s">
        <v>557</v>
      </c>
      <c r="C81" s="284"/>
      <c r="D81" s="309"/>
      <c r="E81" s="310"/>
      <c r="F81" s="310"/>
      <c r="G81" s="283"/>
      <c r="H81" s="309">
        <f t="shared" si="15"/>
        <v>0</v>
      </c>
      <c r="I81" s="310"/>
      <c r="J81" s="310"/>
      <c r="K81" s="283"/>
      <c r="L81" s="272"/>
    </row>
    <row r="82" spans="1:13" s="91" customFormat="1" ht="15.75" outlineLevel="1" x14ac:dyDescent="0.25">
      <c r="A82" s="298"/>
      <c r="B82" s="299" t="s">
        <v>67</v>
      </c>
      <c r="C82" s="245">
        <v>530522.25</v>
      </c>
      <c r="D82" s="302">
        <f>E82+F82+G82</f>
        <v>530522.25</v>
      </c>
      <c r="E82" s="250">
        <f>C82*0.7348</f>
        <v>389827.74930000002</v>
      </c>
      <c r="F82" s="250">
        <f>C82*5%</f>
        <v>26526.112500000003</v>
      </c>
      <c r="G82" s="251">
        <f>C82-E82-F82</f>
        <v>114168.38819999997</v>
      </c>
      <c r="H82" s="300">
        <f t="shared" si="15"/>
        <v>530522.25</v>
      </c>
      <c r="I82" s="301">
        <v>389827.75</v>
      </c>
      <c r="J82" s="301">
        <v>26526.11</v>
      </c>
      <c r="K82" s="248">
        <v>114168.39</v>
      </c>
      <c r="L82" s="271" t="s">
        <v>630</v>
      </c>
    </row>
    <row r="83" spans="1:13" s="307" customFormat="1" ht="25.5" customHeight="1" x14ac:dyDescent="0.2">
      <c r="A83" s="303">
        <v>19</v>
      </c>
      <c r="B83" s="304" t="s">
        <v>352</v>
      </c>
      <c r="C83" s="285">
        <f>SUM(C84:C90)</f>
        <v>12844054.93</v>
      </c>
      <c r="D83" s="227">
        <f>E83+F83+G83</f>
        <v>12844054.93</v>
      </c>
      <c r="E83" s="86">
        <f>SUM(E84:E90)</f>
        <v>8925831.4360127989</v>
      </c>
      <c r="F83" s="86">
        <f>SUM(F84:F90)</f>
        <v>642202.74349999998</v>
      </c>
      <c r="G83" s="305">
        <f>SUM(G84:G90)</f>
        <v>3276020.7504872</v>
      </c>
      <c r="H83" s="227">
        <f>I83+J83+K83</f>
        <v>11549646.32</v>
      </c>
      <c r="I83" s="86">
        <f>SUM(I84:I90)</f>
        <v>7696568.8100000005</v>
      </c>
      <c r="J83" s="86">
        <f>SUM(J84:J90)</f>
        <v>577482.31999999995</v>
      </c>
      <c r="K83" s="305">
        <f>SUM(K84:K90)</f>
        <v>3275595.19</v>
      </c>
      <c r="L83" s="306"/>
    </row>
    <row r="84" spans="1:13" s="266" customFormat="1" ht="15.75" outlineLevel="1" x14ac:dyDescent="0.25">
      <c r="A84" s="308"/>
      <c r="B84" s="313" t="s">
        <v>68</v>
      </c>
      <c r="C84" s="284"/>
      <c r="D84" s="309"/>
      <c r="E84" s="310"/>
      <c r="F84" s="310"/>
      <c r="G84" s="283"/>
      <c r="H84" s="309">
        <f t="shared" si="15"/>
        <v>0</v>
      </c>
      <c r="I84" s="310"/>
      <c r="J84" s="310"/>
      <c r="K84" s="283"/>
      <c r="L84" s="272"/>
    </row>
    <row r="85" spans="1:13" s="91" customFormat="1" ht="15.75" outlineLevel="1" x14ac:dyDescent="0.25">
      <c r="A85" s="298"/>
      <c r="B85" s="261" t="s">
        <v>64</v>
      </c>
      <c r="C85" s="245">
        <v>2143567.5699999998</v>
      </c>
      <c r="D85" s="300">
        <f>E85+F85+G85</f>
        <v>2143567.5699999998</v>
      </c>
      <c r="E85" s="301">
        <v>777457.28118479997</v>
      </c>
      <c r="F85" s="301">
        <v>107178.37599999999</v>
      </c>
      <c r="G85" s="248">
        <v>1258931.9128151999</v>
      </c>
      <c r="H85" s="300">
        <f t="shared" si="15"/>
        <v>2143567.5699999998</v>
      </c>
      <c r="I85" s="301">
        <v>777457.28</v>
      </c>
      <c r="J85" s="301">
        <v>107178.38</v>
      </c>
      <c r="K85" s="248">
        <v>1258931.9099999999</v>
      </c>
      <c r="L85" s="271" t="s">
        <v>786</v>
      </c>
      <c r="M85" s="597">
        <v>42580</v>
      </c>
    </row>
    <row r="86" spans="1:13" s="266" customFormat="1" ht="15.75" outlineLevel="1" x14ac:dyDescent="0.25">
      <c r="A86" s="308"/>
      <c r="B86" s="313" t="s">
        <v>65</v>
      </c>
      <c r="C86" s="284"/>
      <c r="D86" s="309"/>
      <c r="E86" s="310"/>
      <c r="F86" s="310"/>
      <c r="G86" s="283"/>
      <c r="H86" s="309">
        <f t="shared" si="15"/>
        <v>0</v>
      </c>
      <c r="I86" s="310"/>
      <c r="J86" s="310"/>
      <c r="K86" s="283"/>
      <c r="L86" s="272"/>
    </row>
    <row r="87" spans="1:13" s="91" customFormat="1" ht="15.75" outlineLevel="1" x14ac:dyDescent="0.25">
      <c r="A87" s="298"/>
      <c r="B87" s="499" t="s">
        <v>66</v>
      </c>
      <c r="C87" s="245">
        <v>1294408.6100000001</v>
      </c>
      <c r="D87" s="300">
        <f>E87+F87</f>
        <v>1294408.6099999999</v>
      </c>
      <c r="E87" s="301">
        <v>1229688.18</v>
      </c>
      <c r="F87" s="301">
        <v>64720.43</v>
      </c>
      <c r="G87" s="248"/>
      <c r="H87" s="300">
        <f t="shared" si="15"/>
        <v>0</v>
      </c>
      <c r="I87" s="301"/>
      <c r="J87" s="301"/>
      <c r="K87" s="248"/>
      <c r="L87" s="271" t="s">
        <v>872</v>
      </c>
      <c r="M87" s="728">
        <v>42642</v>
      </c>
    </row>
    <row r="88" spans="1:13" s="91" customFormat="1" ht="15.75" outlineLevel="1" x14ac:dyDescent="0.25">
      <c r="A88" s="298"/>
      <c r="B88" s="499" t="s">
        <v>555</v>
      </c>
      <c r="C88" s="245">
        <f>8776301.17+97835.49</f>
        <v>8874136.6600000001</v>
      </c>
      <c r="D88" s="300">
        <f>E88+F88+G88</f>
        <v>8874136.6600000001</v>
      </c>
      <c r="E88" s="250">
        <f>C88*0.7356</f>
        <v>6527814.9270959999</v>
      </c>
      <c r="F88" s="250">
        <f>C88*5%</f>
        <v>443706.83300000004</v>
      </c>
      <c r="G88" s="251">
        <f>C88-E88-F88</f>
        <v>1902614.8999040001</v>
      </c>
      <c r="H88" s="300">
        <f t="shared" si="15"/>
        <v>8874136.6600000001</v>
      </c>
      <c r="I88" s="301">
        <v>6528240.4800000004</v>
      </c>
      <c r="J88" s="301">
        <v>443706.84</v>
      </c>
      <c r="K88" s="248">
        <v>1902189.34</v>
      </c>
      <c r="L88" s="271" t="s">
        <v>693</v>
      </c>
    </row>
    <row r="89" spans="1:13" s="266" customFormat="1" ht="15.75" outlineLevel="1" x14ac:dyDescent="0.25">
      <c r="A89" s="308"/>
      <c r="B89" s="313" t="s">
        <v>557</v>
      </c>
      <c r="C89" s="284"/>
      <c r="D89" s="309"/>
      <c r="E89" s="310"/>
      <c r="F89" s="310"/>
      <c r="G89" s="283"/>
      <c r="H89" s="309">
        <f t="shared" si="15"/>
        <v>0</v>
      </c>
      <c r="I89" s="310"/>
      <c r="J89" s="310"/>
      <c r="K89" s="283"/>
      <c r="L89" s="272"/>
    </row>
    <row r="90" spans="1:13" s="91" customFormat="1" ht="15.75" outlineLevel="1" x14ac:dyDescent="0.25">
      <c r="A90" s="298"/>
      <c r="B90" s="299" t="s">
        <v>67</v>
      </c>
      <c r="C90" s="245">
        <v>531942.09</v>
      </c>
      <c r="D90" s="302">
        <f>E90+F90+G90</f>
        <v>531942.09</v>
      </c>
      <c r="E90" s="250">
        <f>C90*0.7348</f>
        <v>390871.04773200001</v>
      </c>
      <c r="F90" s="250">
        <f>C90*5%</f>
        <v>26597.104500000001</v>
      </c>
      <c r="G90" s="251">
        <f>C90-E90-F90</f>
        <v>114473.93776799996</v>
      </c>
      <c r="H90" s="300">
        <f t="shared" si="15"/>
        <v>531942.09</v>
      </c>
      <c r="I90" s="301">
        <v>390871.05</v>
      </c>
      <c r="J90" s="301">
        <v>26597.1</v>
      </c>
      <c r="K90" s="248">
        <v>114473.94</v>
      </c>
      <c r="L90" s="271" t="s">
        <v>630</v>
      </c>
    </row>
    <row r="91" spans="1:13" s="395" customFormat="1" ht="31.5" customHeight="1" x14ac:dyDescent="0.2">
      <c r="A91" s="584">
        <v>20</v>
      </c>
      <c r="B91" s="579" t="s">
        <v>355</v>
      </c>
      <c r="C91" s="287">
        <f>SUM(C92:C93)</f>
        <v>2815125.04</v>
      </c>
      <c r="D91" s="393">
        <f>E91+F91+G91</f>
        <v>2815125.04</v>
      </c>
      <c r="E91" s="401">
        <f>SUM(E92:E93)</f>
        <v>2007086.5158889999</v>
      </c>
      <c r="F91" s="401">
        <f>SUM(F92:F93)</f>
        <v>140756.25200000001</v>
      </c>
      <c r="G91" s="402">
        <f>SUM(G92:G93)</f>
        <v>667282.27211100003</v>
      </c>
      <c r="H91" s="585">
        <f>I91+J91+K91</f>
        <v>2815125.04</v>
      </c>
      <c r="I91" s="401">
        <f>SUM(I92:I93)</f>
        <v>2004566.0899999999</v>
      </c>
      <c r="J91" s="401">
        <f>SUM(J92:J93)</f>
        <v>140756.25</v>
      </c>
      <c r="K91" s="402">
        <f>SUM(K92:K93)</f>
        <v>669802.69999999995</v>
      </c>
      <c r="L91" s="400"/>
    </row>
    <row r="92" spans="1:13" s="91" customFormat="1" ht="15.75" outlineLevel="1" x14ac:dyDescent="0.25">
      <c r="A92" s="298"/>
      <c r="B92" s="439" t="s">
        <v>555</v>
      </c>
      <c r="C92" s="245">
        <v>2708009.5</v>
      </c>
      <c r="D92" s="300">
        <f>E92+F92+G92</f>
        <v>2708009.5</v>
      </c>
      <c r="E92" s="301">
        <f>C92*0.71207</f>
        <v>1928292.324665</v>
      </c>
      <c r="F92" s="301">
        <f>C92*0.05</f>
        <v>135400.47500000001</v>
      </c>
      <c r="G92" s="248">
        <f>C92-E92-F92</f>
        <v>644316.70033500006</v>
      </c>
      <c r="H92" s="300">
        <f>I92+J92+K92</f>
        <v>2708009.5</v>
      </c>
      <c r="I92" s="301">
        <v>1925771.9</v>
      </c>
      <c r="J92" s="301">
        <v>135400.47</v>
      </c>
      <c r="K92" s="248">
        <v>646837.13</v>
      </c>
      <c r="L92" s="271" t="s">
        <v>749</v>
      </c>
    </row>
    <row r="93" spans="1:13" s="91" customFormat="1" ht="15.75" outlineLevel="1" x14ac:dyDescent="0.25">
      <c r="A93" s="298"/>
      <c r="B93" s="299" t="s">
        <v>67</v>
      </c>
      <c r="C93" s="245">
        <v>107115.54</v>
      </c>
      <c r="D93" s="300">
        <f>E93+F93+G93</f>
        <v>107115.54</v>
      </c>
      <c r="E93" s="250">
        <f>C93*0.7356</f>
        <v>78794.191223999995</v>
      </c>
      <c r="F93" s="250">
        <f>C93*5%</f>
        <v>5355.777</v>
      </c>
      <c r="G93" s="251">
        <f>C93-E93-F93</f>
        <v>22965.571775999997</v>
      </c>
      <c r="H93" s="300">
        <f>I93+J93+K93</f>
        <v>107115.54000000001</v>
      </c>
      <c r="I93" s="301">
        <v>78794.19</v>
      </c>
      <c r="J93" s="301">
        <v>5355.78</v>
      </c>
      <c r="K93" s="248">
        <v>22965.57</v>
      </c>
      <c r="L93" s="252" t="s">
        <v>659</v>
      </c>
    </row>
    <row r="94" spans="1:13" s="9" customFormat="1" ht="36" customHeight="1" x14ac:dyDescent="0.2">
      <c r="A94" s="233">
        <v>21</v>
      </c>
      <c r="B94" s="238" t="s">
        <v>364</v>
      </c>
      <c r="C94" s="58">
        <f>SUM(C95:C96)</f>
        <v>89536.06</v>
      </c>
      <c r="D94" s="13">
        <f>E94+F94+G94</f>
        <v>89536.06</v>
      </c>
      <c r="E94" s="44">
        <f>SUM(E95:E96)</f>
        <v>65862.725736000008</v>
      </c>
      <c r="F94" s="44">
        <f>SUM(F95:F96)</f>
        <v>4476.8029999999999</v>
      </c>
      <c r="G94" s="297">
        <f>SUM(G95:G96)</f>
        <v>19196.53126399999</v>
      </c>
      <c r="H94" s="13">
        <f>I94+J94+K94</f>
        <v>89536.06</v>
      </c>
      <c r="I94" s="44">
        <f>SUM(I95:I96)</f>
        <v>65862.73</v>
      </c>
      <c r="J94" s="44">
        <f>SUM(J95:J96)</f>
        <v>4476.8</v>
      </c>
      <c r="K94" s="297">
        <f>SUM(K95:K96)</f>
        <v>19196.53</v>
      </c>
      <c r="L94" s="35"/>
    </row>
    <row r="95" spans="1:13" ht="15.75" outlineLevel="1" x14ac:dyDescent="0.25">
      <c r="A95" s="235"/>
      <c r="B95" s="237" t="s">
        <v>555</v>
      </c>
      <c r="C95" s="59"/>
      <c r="D95" s="29"/>
      <c r="E95" s="12"/>
      <c r="F95" s="12"/>
      <c r="G95" s="16"/>
      <c r="H95" s="29"/>
      <c r="I95" s="12"/>
      <c r="J95" s="12"/>
      <c r="K95" s="16"/>
      <c r="L95" s="28"/>
    </row>
    <row r="96" spans="1:13" s="91" customFormat="1" ht="15.75" outlineLevel="1" x14ac:dyDescent="0.25">
      <c r="A96" s="298"/>
      <c r="B96" s="299" t="s">
        <v>67</v>
      </c>
      <c r="C96" s="245">
        <v>89536.06</v>
      </c>
      <c r="D96" s="300">
        <f>E96+F96+G96</f>
        <v>89536.06</v>
      </c>
      <c r="E96" s="250">
        <f>C96*0.7356</f>
        <v>65862.725736000008</v>
      </c>
      <c r="F96" s="250">
        <f>C96*5%</f>
        <v>4476.8029999999999</v>
      </c>
      <c r="G96" s="251">
        <f>C96-E96-F96</f>
        <v>19196.53126399999</v>
      </c>
      <c r="H96" s="300">
        <f>I96+J96+K96</f>
        <v>89536.06</v>
      </c>
      <c r="I96" s="301">
        <v>65862.73</v>
      </c>
      <c r="J96" s="301">
        <v>4476.8</v>
      </c>
      <c r="K96" s="248">
        <v>19196.53</v>
      </c>
      <c r="L96" s="252" t="s">
        <v>659</v>
      </c>
    </row>
    <row r="97" spans="1:13" s="395" customFormat="1" ht="30" customHeight="1" x14ac:dyDescent="0.2">
      <c r="A97" s="584">
        <v>22</v>
      </c>
      <c r="B97" s="579" t="s">
        <v>354</v>
      </c>
      <c r="C97" s="287">
        <f>SUM(C98:C99)</f>
        <v>4268269.16</v>
      </c>
      <c r="D97" s="393">
        <f>E97+F97+G97</f>
        <v>4268269.16</v>
      </c>
      <c r="E97" s="401">
        <f>SUM(E98:E99)</f>
        <v>2844331.8927720003</v>
      </c>
      <c r="F97" s="401">
        <f>SUM(F98:F99)</f>
        <v>213413.46349999998</v>
      </c>
      <c r="G97" s="402">
        <f>SUM(G98:G99)</f>
        <v>1210523.803728</v>
      </c>
      <c r="H97" s="393">
        <f>I97+J97+K97</f>
        <v>4268269.16</v>
      </c>
      <c r="I97" s="401">
        <f>SUM(I98:I99)</f>
        <v>2844331.8899999997</v>
      </c>
      <c r="J97" s="401">
        <f>SUM(J98:J99)</f>
        <v>213413.46</v>
      </c>
      <c r="K97" s="402">
        <f>SUM(K98:K99)</f>
        <v>1210523.81</v>
      </c>
      <c r="L97" s="400"/>
    </row>
    <row r="98" spans="1:13" s="91" customFormat="1" ht="15.75" outlineLevel="1" x14ac:dyDescent="0.25">
      <c r="A98" s="298"/>
      <c r="B98" s="439" t="s">
        <v>555</v>
      </c>
      <c r="C98" s="245">
        <v>4193230.29</v>
      </c>
      <c r="D98" s="300">
        <f>E98+F98+G98</f>
        <v>4193230.29</v>
      </c>
      <c r="E98" s="301">
        <v>2789133.3000000003</v>
      </c>
      <c r="F98" s="301">
        <v>209661.52</v>
      </c>
      <c r="G98" s="248">
        <v>1194435.47</v>
      </c>
      <c r="H98" s="300">
        <f>SUM(I98:K98)</f>
        <v>4193230.29</v>
      </c>
      <c r="I98" s="301">
        <v>2789133.3</v>
      </c>
      <c r="J98" s="301">
        <v>209661.52</v>
      </c>
      <c r="K98" s="248">
        <v>1194435.47</v>
      </c>
      <c r="L98" s="271" t="s">
        <v>799</v>
      </c>
      <c r="M98" s="597">
        <v>42598</v>
      </c>
    </row>
    <row r="99" spans="1:13" s="91" customFormat="1" ht="15.75" outlineLevel="1" x14ac:dyDescent="0.25">
      <c r="A99" s="298"/>
      <c r="B99" s="299" t="s">
        <v>67</v>
      </c>
      <c r="C99" s="245">
        <v>75038.87</v>
      </c>
      <c r="D99" s="300">
        <f>E99+F99+G99</f>
        <v>75038.87</v>
      </c>
      <c r="E99" s="250">
        <f>C99*0.7356</f>
        <v>55198.592771999996</v>
      </c>
      <c r="F99" s="250">
        <f>C99*5%</f>
        <v>3751.9434999999999</v>
      </c>
      <c r="G99" s="251">
        <f>C99-E99-F99</f>
        <v>16088.333728</v>
      </c>
      <c r="H99" s="300">
        <f>I99+J99+K99</f>
        <v>75038.87</v>
      </c>
      <c r="I99" s="301">
        <v>55198.59</v>
      </c>
      <c r="J99" s="301">
        <v>3751.94</v>
      </c>
      <c r="K99" s="248">
        <v>16088.34</v>
      </c>
      <c r="L99" s="252" t="s">
        <v>659</v>
      </c>
    </row>
    <row r="100" spans="1:13" s="9" customFormat="1" ht="41.25" customHeight="1" x14ac:dyDescent="0.2">
      <c r="A100" s="233">
        <v>23</v>
      </c>
      <c r="B100" s="238" t="s">
        <v>368</v>
      </c>
      <c r="C100" s="58">
        <f>SUM(C101:C102)</f>
        <v>79716.679999999993</v>
      </c>
      <c r="D100" s="13">
        <f>E100+F100+G100</f>
        <v>79716.679999999993</v>
      </c>
      <c r="E100" s="44">
        <f>SUM(E101:E102)</f>
        <v>58639.589807999997</v>
      </c>
      <c r="F100" s="44">
        <f>SUM(F101:F102)</f>
        <v>3985.8339999999998</v>
      </c>
      <c r="G100" s="297">
        <f>SUM(G101:G102)</f>
        <v>17091.256191999997</v>
      </c>
      <c r="H100" s="13">
        <f>I100+J100+K100</f>
        <v>79716.679999999993</v>
      </c>
      <c r="I100" s="44">
        <f>SUM(I101:I102)</f>
        <v>58639.59</v>
      </c>
      <c r="J100" s="44">
        <f>SUM(J101:J102)</f>
        <v>3985.83</v>
      </c>
      <c r="K100" s="297">
        <f>SUM(K101:K102)</f>
        <v>17091.259999999998</v>
      </c>
      <c r="L100" s="35"/>
    </row>
    <row r="101" spans="1:13" ht="15.75" outlineLevel="1" x14ac:dyDescent="0.25">
      <c r="A101" s="235"/>
      <c r="B101" s="237" t="s">
        <v>555</v>
      </c>
      <c r="C101" s="59"/>
      <c r="D101" s="29"/>
      <c r="E101" s="12"/>
      <c r="F101" s="12"/>
      <c r="G101" s="16"/>
      <c r="H101" s="29"/>
      <c r="I101" s="12"/>
      <c r="J101" s="12"/>
      <c r="K101" s="16"/>
      <c r="L101" s="28"/>
    </row>
    <row r="102" spans="1:13" s="91" customFormat="1" ht="15.75" outlineLevel="1" x14ac:dyDescent="0.25">
      <c r="A102" s="298"/>
      <c r="B102" s="299" t="s">
        <v>67</v>
      </c>
      <c r="C102" s="245">
        <v>79716.679999999993</v>
      </c>
      <c r="D102" s="300">
        <f>E102+F102+G102</f>
        <v>79716.679999999993</v>
      </c>
      <c r="E102" s="250">
        <f>C102*0.7356</f>
        <v>58639.589807999997</v>
      </c>
      <c r="F102" s="250">
        <f>C102*5%</f>
        <v>3985.8339999999998</v>
      </c>
      <c r="G102" s="251">
        <f>C102-E102-F102</f>
        <v>17091.256191999997</v>
      </c>
      <c r="H102" s="300">
        <f>I102+J102+K102</f>
        <v>79716.679999999993</v>
      </c>
      <c r="I102" s="301">
        <v>58639.59</v>
      </c>
      <c r="J102" s="301">
        <v>3985.83</v>
      </c>
      <c r="K102" s="248">
        <v>17091.259999999998</v>
      </c>
      <c r="L102" s="252" t="s">
        <v>659</v>
      </c>
    </row>
    <row r="103" spans="1:13" s="395" customFormat="1" ht="38.25" customHeight="1" x14ac:dyDescent="0.2">
      <c r="A103" s="584">
        <v>24</v>
      </c>
      <c r="B103" s="579" t="s">
        <v>369</v>
      </c>
      <c r="C103" s="287">
        <f>SUM(C104:C105)</f>
        <v>3205545.12</v>
      </c>
      <c r="D103" s="393">
        <f>E103+F103+G103</f>
        <v>3205545.1200000006</v>
      </c>
      <c r="E103" s="401">
        <f>SUM(E104:E105)</f>
        <v>2136143.2105920003</v>
      </c>
      <c r="F103" s="401">
        <f>SUM(F104:F105)</f>
        <v>160277.25600000005</v>
      </c>
      <c r="G103" s="402">
        <f>SUM(G104:G105)</f>
        <v>909124.65340800025</v>
      </c>
      <c r="H103" s="393">
        <f>I103+J103+K103</f>
        <v>3205545.1199999996</v>
      </c>
      <c r="I103" s="401">
        <f>SUM(I104:I105)</f>
        <v>2136143.21</v>
      </c>
      <c r="J103" s="401">
        <f>SUM(J104:J105)</f>
        <v>160277.26</v>
      </c>
      <c r="K103" s="402">
        <f>SUM(K104:K105)</f>
        <v>909124.65</v>
      </c>
      <c r="L103" s="400"/>
    </row>
    <row r="104" spans="1:13" s="91" customFormat="1" ht="15.75" outlineLevel="1" x14ac:dyDescent="0.25">
      <c r="A104" s="298"/>
      <c r="B104" s="439" t="s">
        <v>555</v>
      </c>
      <c r="C104" s="245">
        <v>3126177.8000000003</v>
      </c>
      <c r="D104" s="300">
        <f>E104+F104+G104</f>
        <v>3126177.8000000003</v>
      </c>
      <c r="E104" s="301">
        <v>2077760.61</v>
      </c>
      <c r="F104" s="301">
        <v>156308.89000000004</v>
      </c>
      <c r="G104" s="248">
        <v>892108.30000000028</v>
      </c>
      <c r="H104" s="300">
        <f>SUM(I104:K104)</f>
        <v>3126177.8</v>
      </c>
      <c r="I104" s="301">
        <v>2077760.61</v>
      </c>
      <c r="J104" s="301">
        <v>156308.89000000001</v>
      </c>
      <c r="K104" s="248">
        <v>892108.3</v>
      </c>
      <c r="L104" s="271" t="s">
        <v>799</v>
      </c>
      <c r="M104" s="597">
        <v>42598</v>
      </c>
    </row>
    <row r="105" spans="1:13" s="91" customFormat="1" ht="15.75" outlineLevel="1" x14ac:dyDescent="0.25">
      <c r="A105" s="298"/>
      <c r="B105" s="299" t="s">
        <v>67</v>
      </c>
      <c r="C105" s="245">
        <v>79367.320000000007</v>
      </c>
      <c r="D105" s="300">
        <f>E105+F105+G105</f>
        <v>79367.320000000007</v>
      </c>
      <c r="E105" s="250">
        <f>C105*0.7356</f>
        <v>58382.60059200001</v>
      </c>
      <c r="F105" s="250">
        <f>C105*5%</f>
        <v>3968.3660000000004</v>
      </c>
      <c r="G105" s="251">
        <f>C105-E105-F105</f>
        <v>17016.353407999995</v>
      </c>
      <c r="H105" s="300">
        <f>I105+J105+K105</f>
        <v>79367.320000000007</v>
      </c>
      <c r="I105" s="301">
        <v>58382.6</v>
      </c>
      <c r="J105" s="301">
        <v>3968.37</v>
      </c>
      <c r="K105" s="248">
        <v>17016.349999999999</v>
      </c>
      <c r="L105" s="252" t="s">
        <v>659</v>
      </c>
    </row>
    <row r="106" spans="1:13" s="395" customFormat="1" ht="37.5" customHeight="1" x14ac:dyDescent="0.2">
      <c r="A106" s="584">
        <v>25</v>
      </c>
      <c r="B106" s="579" t="s">
        <v>370</v>
      </c>
      <c r="C106" s="287">
        <f>SUM(C107:C108)</f>
        <v>4755274.92</v>
      </c>
      <c r="D106" s="393">
        <f>E106+F106+G106</f>
        <v>4755274.92</v>
      </c>
      <c r="E106" s="401">
        <f>SUM(E107:E108)</f>
        <v>3783486.9350887998</v>
      </c>
      <c r="F106" s="401">
        <f>SUM(F107:F108)</f>
        <v>237763.74850000002</v>
      </c>
      <c r="G106" s="402">
        <f>SUM(G107:G108)</f>
        <v>734024.23641120002</v>
      </c>
      <c r="H106" s="393">
        <f>I106+J106+K106</f>
        <v>80491.650000000009</v>
      </c>
      <c r="I106" s="401">
        <f>SUM(I107:I108)</f>
        <v>59209.66</v>
      </c>
      <c r="J106" s="401">
        <f>SUM(J107:J108)</f>
        <v>4024.58</v>
      </c>
      <c r="K106" s="402">
        <f>SUM(K107:K108)</f>
        <v>17257.41</v>
      </c>
      <c r="L106" s="400"/>
    </row>
    <row r="107" spans="1:13" s="91" customFormat="1" ht="15.75" outlineLevel="1" x14ac:dyDescent="0.25">
      <c r="A107" s="298"/>
      <c r="B107" s="439" t="s">
        <v>555</v>
      </c>
      <c r="C107" s="245">
        <v>4674783.2699999996</v>
      </c>
      <c r="D107" s="300">
        <f>SUM(E107:G107)</f>
        <v>4674783.2699999996</v>
      </c>
      <c r="E107" s="301">
        <v>3724277.2773487996</v>
      </c>
      <c r="F107" s="301">
        <v>233739.16600000003</v>
      </c>
      <c r="G107" s="248">
        <v>716766.82665120007</v>
      </c>
      <c r="H107" s="300"/>
      <c r="I107" s="301"/>
      <c r="J107" s="301"/>
      <c r="K107" s="248"/>
      <c r="L107" s="271" t="s">
        <v>847</v>
      </c>
      <c r="M107" s="597">
        <v>42576</v>
      </c>
    </row>
    <row r="108" spans="1:13" s="91" customFormat="1" ht="15.75" outlineLevel="1" x14ac:dyDescent="0.25">
      <c r="A108" s="298"/>
      <c r="B108" s="299" t="s">
        <v>67</v>
      </c>
      <c r="C108" s="245">
        <v>80491.649999999994</v>
      </c>
      <c r="D108" s="300">
        <f>E108+F108+G108</f>
        <v>80491.649999999994</v>
      </c>
      <c r="E108" s="250">
        <f>C108*0.7356</f>
        <v>59209.657739999995</v>
      </c>
      <c r="F108" s="250">
        <f>C108*5%</f>
        <v>4024.5825</v>
      </c>
      <c r="G108" s="251">
        <f>C108-E108-F108</f>
        <v>17257.409759999999</v>
      </c>
      <c r="H108" s="300">
        <f>I108+J108+K108</f>
        <v>80491.650000000009</v>
      </c>
      <c r="I108" s="301">
        <v>59209.66</v>
      </c>
      <c r="J108" s="301">
        <v>4024.58</v>
      </c>
      <c r="K108" s="248">
        <v>17257.41</v>
      </c>
      <c r="L108" s="252" t="s">
        <v>659</v>
      </c>
    </row>
    <row r="109" spans="1:13" s="395" customFormat="1" ht="30" customHeight="1" x14ac:dyDescent="0.2">
      <c r="A109" s="584">
        <v>26</v>
      </c>
      <c r="B109" s="579" t="s">
        <v>371</v>
      </c>
      <c r="C109" s="287">
        <f>SUM(C110:C111)</f>
        <v>4755371.8199999994</v>
      </c>
      <c r="D109" s="393">
        <f>E109+F109+G109</f>
        <v>4755371.8199999994</v>
      </c>
      <c r="E109" s="401">
        <f>SUM(E110:E111)</f>
        <v>3783564.0322447997</v>
      </c>
      <c r="F109" s="401">
        <f>SUM(F110:F111)</f>
        <v>237768.58850000001</v>
      </c>
      <c r="G109" s="402">
        <f>SUM(G110:G111)</f>
        <v>734039.19925519975</v>
      </c>
      <c r="H109" s="393">
        <f>I109+J109+K109</f>
        <v>80588.55</v>
      </c>
      <c r="I109" s="401">
        <f>SUM(I110:I111)</f>
        <v>59280.94</v>
      </c>
      <c r="J109" s="401">
        <f>SUM(J110:J111)</f>
        <v>4029.43</v>
      </c>
      <c r="K109" s="402">
        <f>SUM(K110:K111)</f>
        <v>17278.18</v>
      </c>
      <c r="L109" s="400"/>
    </row>
    <row r="110" spans="1:13" s="91" customFormat="1" ht="15.75" outlineLevel="1" x14ac:dyDescent="0.25">
      <c r="A110" s="298"/>
      <c r="B110" s="439" t="s">
        <v>555</v>
      </c>
      <c r="C110" s="245">
        <v>4674783.2699999996</v>
      </c>
      <c r="D110" s="300">
        <f>SUM(E110:G110)</f>
        <v>4674783.2699999996</v>
      </c>
      <c r="E110" s="301">
        <v>3724283.0948647996</v>
      </c>
      <c r="F110" s="301">
        <v>233739.16100000002</v>
      </c>
      <c r="G110" s="248">
        <v>716761.01413519972</v>
      </c>
      <c r="H110" s="300"/>
      <c r="I110" s="301"/>
      <c r="J110" s="301"/>
      <c r="K110" s="248"/>
      <c r="L110" s="271" t="s">
        <v>847</v>
      </c>
      <c r="M110" s="597">
        <v>42576</v>
      </c>
    </row>
    <row r="111" spans="1:13" s="91" customFormat="1" ht="15.75" outlineLevel="1" x14ac:dyDescent="0.25">
      <c r="A111" s="298"/>
      <c r="B111" s="299" t="s">
        <v>67</v>
      </c>
      <c r="C111" s="245">
        <v>80588.55</v>
      </c>
      <c r="D111" s="300">
        <f t="shared" ref="D111:D118" si="20">E111+F111+G111</f>
        <v>80588.55</v>
      </c>
      <c r="E111" s="250">
        <f>C111*0.7356</f>
        <v>59280.937380000003</v>
      </c>
      <c r="F111" s="250">
        <f>C111*5%</f>
        <v>4029.4275000000002</v>
      </c>
      <c r="G111" s="251">
        <f>C111-E111-F111</f>
        <v>17278.185119999998</v>
      </c>
      <c r="H111" s="300">
        <f>I111+J111+K111</f>
        <v>80588.55</v>
      </c>
      <c r="I111" s="301">
        <v>59280.94</v>
      </c>
      <c r="J111" s="301">
        <v>4029.43</v>
      </c>
      <c r="K111" s="248">
        <v>17278.18</v>
      </c>
      <c r="L111" s="252" t="s">
        <v>659</v>
      </c>
    </row>
    <row r="112" spans="1:13" s="395" customFormat="1" ht="27.75" customHeight="1" x14ac:dyDescent="0.2">
      <c r="A112" s="584">
        <v>27</v>
      </c>
      <c r="B112" s="579" t="s">
        <v>361</v>
      </c>
      <c r="C112" s="287">
        <f>SUM(C113:C114)</f>
        <v>11337788.589999998</v>
      </c>
      <c r="D112" s="393">
        <f t="shared" si="20"/>
        <v>11337788.59</v>
      </c>
      <c r="E112" s="401">
        <f>SUM(E113:E114)</f>
        <v>9020775.8900240008</v>
      </c>
      <c r="F112" s="401">
        <f>SUM(F113:F114)</f>
        <v>566889.42700000003</v>
      </c>
      <c r="G112" s="402">
        <f>SUM(G113:G114)</f>
        <v>1750123.2729760001</v>
      </c>
      <c r="H112" s="393">
        <f>I112+J112+K112</f>
        <v>11337788.59</v>
      </c>
      <c r="I112" s="401">
        <f>SUM(I113:I114)</f>
        <v>9020775.8900000006</v>
      </c>
      <c r="J112" s="401">
        <f>SUM(J113:J114)</f>
        <v>566889.43000000005</v>
      </c>
      <c r="K112" s="402">
        <f>SUM(K113:K114)</f>
        <v>1750123.27</v>
      </c>
      <c r="L112" s="400"/>
    </row>
    <row r="113" spans="1:13" s="91" customFormat="1" ht="15.75" outlineLevel="1" x14ac:dyDescent="0.25">
      <c r="A113" s="298"/>
      <c r="B113" s="439" t="s">
        <v>555</v>
      </c>
      <c r="C113" s="245">
        <v>11237350.049999999</v>
      </c>
      <c r="D113" s="300">
        <f t="shared" si="20"/>
        <v>11237350.050000001</v>
      </c>
      <c r="E113" s="301">
        <v>8946893.3000000007</v>
      </c>
      <c r="F113" s="301">
        <v>561867.5</v>
      </c>
      <c r="G113" s="248">
        <v>1728589.25</v>
      </c>
      <c r="H113" s="300">
        <f>SUM(I113:K113)</f>
        <v>11237350.050000001</v>
      </c>
      <c r="I113" s="301">
        <v>8946893.3000000007</v>
      </c>
      <c r="J113" s="301">
        <v>561867.5</v>
      </c>
      <c r="K113" s="248">
        <v>1728589.25</v>
      </c>
      <c r="L113" s="271" t="s">
        <v>823</v>
      </c>
      <c r="M113" s="597">
        <v>42643</v>
      </c>
    </row>
    <row r="114" spans="1:13" s="91" customFormat="1" ht="15.75" outlineLevel="1" x14ac:dyDescent="0.25">
      <c r="A114" s="298"/>
      <c r="B114" s="299" t="s">
        <v>67</v>
      </c>
      <c r="C114" s="245">
        <v>100438.54</v>
      </c>
      <c r="D114" s="300">
        <f t="shared" si="20"/>
        <v>100438.54</v>
      </c>
      <c r="E114" s="250">
        <f>C114*0.7356</f>
        <v>73882.590024000005</v>
      </c>
      <c r="F114" s="250">
        <f>C114*5%</f>
        <v>5021.9269999999997</v>
      </c>
      <c r="G114" s="251">
        <f>C114-E114-F114</f>
        <v>21534.022975999989</v>
      </c>
      <c r="H114" s="300">
        <f>I114+J114+K114</f>
        <v>100438.54</v>
      </c>
      <c r="I114" s="301">
        <v>73882.59</v>
      </c>
      <c r="J114" s="301">
        <v>5021.93</v>
      </c>
      <c r="K114" s="248">
        <v>21534.02</v>
      </c>
      <c r="L114" s="252" t="s">
        <v>659</v>
      </c>
    </row>
    <row r="115" spans="1:13" s="395" customFormat="1" ht="36" customHeight="1" x14ac:dyDescent="0.2">
      <c r="A115" s="584">
        <v>28</v>
      </c>
      <c r="B115" s="579" t="s">
        <v>362</v>
      </c>
      <c r="C115" s="287">
        <f>SUM(C116:C117)</f>
        <v>2567554.39</v>
      </c>
      <c r="D115" s="393">
        <f t="shared" si="20"/>
        <v>2567554.39</v>
      </c>
      <c r="E115" s="401">
        <f>SUM(E116:E117)</f>
        <v>2042848.962084</v>
      </c>
      <c r="F115" s="401">
        <f>SUM(F116:F117)</f>
        <v>128377.71950000001</v>
      </c>
      <c r="G115" s="402">
        <f>SUM(G116:G117)</f>
        <v>396327.70841600001</v>
      </c>
      <c r="H115" s="393">
        <f>I115+J115+K115</f>
        <v>71242.390000000014</v>
      </c>
      <c r="I115" s="401">
        <f>SUM(I116:I117)</f>
        <v>52405.91</v>
      </c>
      <c r="J115" s="401">
        <f>SUM(J116:J117)</f>
        <v>3562.12</v>
      </c>
      <c r="K115" s="402">
        <f>SUM(K116:K117)</f>
        <v>15274.36</v>
      </c>
      <c r="L115" s="400"/>
    </row>
    <row r="116" spans="1:13" s="91" customFormat="1" ht="15.75" outlineLevel="1" x14ac:dyDescent="0.25">
      <c r="A116" s="298"/>
      <c r="B116" s="439" t="s">
        <v>555</v>
      </c>
      <c r="C116" s="245">
        <v>2496312</v>
      </c>
      <c r="D116" s="300">
        <f t="shared" si="20"/>
        <v>2496312</v>
      </c>
      <c r="E116" s="301">
        <v>1990443.06</v>
      </c>
      <c r="F116" s="301">
        <v>124815.6</v>
      </c>
      <c r="G116" s="248">
        <v>381053.34</v>
      </c>
      <c r="H116" s="300"/>
      <c r="I116" s="301"/>
      <c r="J116" s="301"/>
      <c r="K116" s="248"/>
      <c r="L116" s="271" t="s">
        <v>852</v>
      </c>
      <c r="M116" s="597">
        <v>42655</v>
      </c>
    </row>
    <row r="117" spans="1:13" s="91" customFormat="1" ht="15.75" outlineLevel="1" x14ac:dyDescent="0.25">
      <c r="A117" s="298"/>
      <c r="B117" s="299" t="s">
        <v>67</v>
      </c>
      <c r="C117" s="245">
        <v>71242.39</v>
      </c>
      <c r="D117" s="300">
        <f t="shared" si="20"/>
        <v>71242.39</v>
      </c>
      <c r="E117" s="250">
        <f>C117*0.7356</f>
        <v>52405.902084000001</v>
      </c>
      <c r="F117" s="250">
        <f>C117*5%</f>
        <v>3562.1195000000002</v>
      </c>
      <c r="G117" s="251">
        <f>C117-E117-F117</f>
        <v>15274.368415999998</v>
      </c>
      <c r="H117" s="300">
        <f>I117+J117+K117</f>
        <v>71242.390000000014</v>
      </c>
      <c r="I117" s="301">
        <v>52405.91</v>
      </c>
      <c r="J117" s="301">
        <v>3562.12</v>
      </c>
      <c r="K117" s="248">
        <v>15274.36</v>
      </c>
      <c r="L117" s="252" t="s">
        <v>659</v>
      </c>
    </row>
    <row r="118" spans="1:13" s="395" customFormat="1" ht="31.5" customHeight="1" x14ac:dyDescent="0.2">
      <c r="A118" s="584">
        <v>29</v>
      </c>
      <c r="B118" s="579" t="s">
        <v>353</v>
      </c>
      <c r="C118" s="287">
        <f>SUM(C119:C120)</f>
        <v>11247396.15</v>
      </c>
      <c r="D118" s="393">
        <f t="shared" si="20"/>
        <v>11247396.15</v>
      </c>
      <c r="E118" s="401">
        <f>SUM(E119:E120)</f>
        <v>7495152.3220345015</v>
      </c>
      <c r="F118" s="401">
        <f>SUM(F119:F120)</f>
        <v>562369.80300000007</v>
      </c>
      <c r="G118" s="402">
        <f>SUM(G119:G120)</f>
        <v>3189874.0249654991</v>
      </c>
      <c r="H118" s="393">
        <f>I118+J118+K118</f>
        <v>11247396.149999999</v>
      </c>
      <c r="I118" s="401">
        <f>SUM(I119:I120)</f>
        <v>7495152.3199999994</v>
      </c>
      <c r="J118" s="401">
        <f>SUM(J119:J120)</f>
        <v>562369.80999999994</v>
      </c>
      <c r="K118" s="402">
        <f>SUM(K119:K120)</f>
        <v>3189874.02</v>
      </c>
      <c r="L118" s="400"/>
    </row>
    <row r="119" spans="1:13" s="91" customFormat="1" ht="15.75" outlineLevel="1" x14ac:dyDescent="0.25">
      <c r="A119" s="298"/>
      <c r="B119" s="439" t="s">
        <v>555</v>
      </c>
      <c r="C119" s="245">
        <v>11136414.84</v>
      </c>
      <c r="D119" s="300">
        <f>SUM(E119:G119)</f>
        <v>11136414.84</v>
      </c>
      <c r="E119" s="301">
        <v>7413514.4703985015</v>
      </c>
      <c r="F119" s="301">
        <v>556820.73750000005</v>
      </c>
      <c r="G119" s="248">
        <v>3166079.632101499</v>
      </c>
      <c r="H119" s="300">
        <f>SUM(I119:K119)</f>
        <v>11136414.84</v>
      </c>
      <c r="I119" s="301">
        <v>7413514.4699999997</v>
      </c>
      <c r="J119" s="301">
        <v>556820.74</v>
      </c>
      <c r="K119" s="248">
        <v>3166079.63</v>
      </c>
      <c r="L119" s="271" t="s">
        <v>823</v>
      </c>
      <c r="M119" s="597">
        <v>42627</v>
      </c>
    </row>
    <row r="120" spans="1:13" s="91" customFormat="1" ht="15.75" outlineLevel="1" x14ac:dyDescent="0.25">
      <c r="A120" s="298"/>
      <c r="B120" s="299" t="s">
        <v>67</v>
      </c>
      <c r="C120" s="245">
        <v>110981.31</v>
      </c>
      <c r="D120" s="300">
        <f>E120+F120+G120</f>
        <v>110981.31</v>
      </c>
      <c r="E120" s="250">
        <f>C120*0.7356</f>
        <v>81637.851636000007</v>
      </c>
      <c r="F120" s="250">
        <f>C120*5%</f>
        <v>5549.0655000000006</v>
      </c>
      <c r="G120" s="251">
        <f>C120-E120-F120</f>
        <v>23794.39286399999</v>
      </c>
      <c r="H120" s="300">
        <f>I120+J120+K120</f>
        <v>110981.31000000001</v>
      </c>
      <c r="I120" s="301">
        <v>81637.850000000006</v>
      </c>
      <c r="J120" s="301">
        <v>5549.07</v>
      </c>
      <c r="K120" s="248">
        <v>23794.39</v>
      </c>
      <c r="L120" s="252" t="s">
        <v>659</v>
      </c>
    </row>
    <row r="121" spans="1:13" s="395" customFormat="1" ht="39" customHeight="1" x14ac:dyDescent="0.2">
      <c r="A121" s="584">
        <v>30</v>
      </c>
      <c r="B121" s="579" t="s">
        <v>360</v>
      </c>
      <c r="C121" s="287">
        <f>SUM(C122:C123)</f>
        <v>6793408.29</v>
      </c>
      <c r="D121" s="393">
        <f>E121+F121+G121</f>
        <v>6793408.29</v>
      </c>
      <c r="E121" s="401">
        <f>SUM(E122:E123)</f>
        <v>5405107.381724</v>
      </c>
      <c r="F121" s="401">
        <f>SUM(F122:F123)</f>
        <v>339670.41450000001</v>
      </c>
      <c r="G121" s="402">
        <f>SUM(G122:G123)</f>
        <v>1048630.4937759999</v>
      </c>
      <c r="H121" s="393">
        <f>I121+J121+K121</f>
        <v>100014.29000000001</v>
      </c>
      <c r="I121" s="401">
        <f>SUM(I122:I123)</f>
        <v>73570.509999999995</v>
      </c>
      <c r="J121" s="401">
        <f>SUM(J122:J123)</f>
        <v>5000.71</v>
      </c>
      <c r="K121" s="402">
        <f>SUM(K122:K123)</f>
        <v>21443.07</v>
      </c>
      <c r="L121" s="400"/>
    </row>
    <row r="122" spans="1:13" s="91" customFormat="1" ht="15.75" outlineLevel="1" x14ac:dyDescent="0.25">
      <c r="A122" s="298"/>
      <c r="B122" s="439" t="s">
        <v>555</v>
      </c>
      <c r="C122" s="245">
        <v>6693394</v>
      </c>
      <c r="D122" s="300">
        <f>E122+F122+G122</f>
        <v>6693394</v>
      </c>
      <c r="E122" s="301">
        <v>5331536.87</v>
      </c>
      <c r="F122" s="301">
        <v>334669.7</v>
      </c>
      <c r="G122" s="248">
        <v>1027187.4299999999</v>
      </c>
      <c r="H122" s="300"/>
      <c r="I122" s="301"/>
      <c r="J122" s="301"/>
      <c r="K122" s="248"/>
      <c r="L122" s="271" t="s">
        <v>852</v>
      </c>
      <c r="M122" s="597">
        <v>42655</v>
      </c>
    </row>
    <row r="123" spans="1:13" s="91" customFormat="1" ht="15.75" outlineLevel="1" x14ac:dyDescent="0.25">
      <c r="A123" s="387"/>
      <c r="B123" s="299" t="s">
        <v>67</v>
      </c>
      <c r="C123" s="355">
        <v>100014.29</v>
      </c>
      <c r="D123" s="300">
        <f>E123+F123+G123</f>
        <v>100014.29</v>
      </c>
      <c r="E123" s="250">
        <f>C123*0.7356</f>
        <v>73570.511723999996</v>
      </c>
      <c r="F123" s="250">
        <f>C123*5%</f>
        <v>5000.7145</v>
      </c>
      <c r="G123" s="251">
        <f>C123-E123-F123</f>
        <v>21443.063775999995</v>
      </c>
      <c r="H123" s="300">
        <f>I123+J123+K123</f>
        <v>100014.29000000001</v>
      </c>
      <c r="I123" s="356">
        <v>73570.509999999995</v>
      </c>
      <c r="J123" s="356">
        <v>5000.71</v>
      </c>
      <c r="K123" s="357">
        <v>21443.07</v>
      </c>
      <c r="L123" s="252" t="s">
        <v>659</v>
      </c>
    </row>
    <row r="124" spans="1:13" s="91" customFormat="1" ht="28.5" customHeight="1" outlineLevel="1" x14ac:dyDescent="0.25">
      <c r="A124" s="578">
        <v>31</v>
      </c>
      <c r="B124" s="579" t="s">
        <v>660</v>
      </c>
      <c r="C124" s="355">
        <f>SUM(C125)</f>
        <v>80016.36</v>
      </c>
      <c r="D124" s="580">
        <f>SUM(E124:G124)</f>
        <v>80016.36</v>
      </c>
      <c r="E124" s="581">
        <f>E125</f>
        <v>58860.034416000002</v>
      </c>
      <c r="F124" s="581">
        <f t="shared" ref="F124:G124" si="21">F125</f>
        <v>4000.8180000000002</v>
      </c>
      <c r="G124" s="581">
        <f t="shared" si="21"/>
        <v>17155.507583999999</v>
      </c>
      <c r="H124" s="580">
        <f>SUM(I124:K124)</f>
        <v>80016.36</v>
      </c>
      <c r="I124" s="581">
        <f>I125</f>
        <v>58860.03</v>
      </c>
      <c r="J124" s="581">
        <f t="shared" ref="J124:K124" si="22">J125</f>
        <v>4000.82</v>
      </c>
      <c r="K124" s="581">
        <f t="shared" si="22"/>
        <v>17155.509999999998</v>
      </c>
      <c r="L124" s="342"/>
    </row>
    <row r="125" spans="1:13" s="91" customFormat="1" ht="15.75" outlineLevel="1" x14ac:dyDescent="0.25">
      <c r="A125" s="387"/>
      <c r="B125" s="388" t="s">
        <v>67</v>
      </c>
      <c r="C125" s="355">
        <v>80016.36</v>
      </c>
      <c r="D125" s="300">
        <f>E125+F125+G125</f>
        <v>80016.36</v>
      </c>
      <c r="E125" s="250">
        <f>C125*0.7356</f>
        <v>58860.034416000002</v>
      </c>
      <c r="F125" s="250">
        <f>C125*5%</f>
        <v>4000.8180000000002</v>
      </c>
      <c r="G125" s="251">
        <f>C125-E125-F125</f>
        <v>17155.507583999999</v>
      </c>
      <c r="H125" s="300">
        <f>I125+J125+K125</f>
        <v>80016.36</v>
      </c>
      <c r="I125" s="356">
        <v>58860.03</v>
      </c>
      <c r="J125" s="356">
        <v>4000.82</v>
      </c>
      <c r="K125" s="357">
        <v>17155.509999999998</v>
      </c>
      <c r="L125" s="252" t="s">
        <v>659</v>
      </c>
    </row>
    <row r="126" spans="1:13" s="91" customFormat="1" ht="24" customHeight="1" outlineLevel="1" x14ac:dyDescent="0.25">
      <c r="A126" s="578">
        <v>32</v>
      </c>
      <c r="B126" s="720" t="s">
        <v>867</v>
      </c>
      <c r="C126" s="721">
        <f>SUM(C127)</f>
        <v>415908.04</v>
      </c>
      <c r="D126" s="580">
        <f>E126+F126+G126</f>
        <v>415908.04000000004</v>
      </c>
      <c r="E126" s="722">
        <f>SUM(E127)</f>
        <v>330913.07</v>
      </c>
      <c r="F126" s="722">
        <f>SUM(F127)</f>
        <v>20795.400000000001</v>
      </c>
      <c r="G126" s="723">
        <f>SUM(G127)</f>
        <v>64199.57</v>
      </c>
      <c r="H126" s="580">
        <f>I126+J126+K126</f>
        <v>0</v>
      </c>
      <c r="I126" s="722">
        <f>SUM(I127)</f>
        <v>0</v>
      </c>
      <c r="J126" s="722">
        <f>SUM(J127)</f>
        <v>0</v>
      </c>
      <c r="K126" s="723">
        <f>SUM(K127)</f>
        <v>0</v>
      </c>
      <c r="L126" s="268"/>
    </row>
    <row r="127" spans="1:13" s="91" customFormat="1" ht="15.75" outlineLevel="1" x14ac:dyDescent="0.25">
      <c r="A127" s="387"/>
      <c r="B127" s="388" t="s">
        <v>557</v>
      </c>
      <c r="C127" s="355">
        <v>415908.04</v>
      </c>
      <c r="D127" s="498">
        <f>E127+F127+G127</f>
        <v>415908.04000000004</v>
      </c>
      <c r="E127" s="355">
        <v>330913.07</v>
      </c>
      <c r="F127" s="355">
        <v>20795.400000000001</v>
      </c>
      <c r="G127" s="355">
        <v>64199.57</v>
      </c>
      <c r="H127" s="498"/>
      <c r="I127" s="356"/>
      <c r="J127" s="356"/>
      <c r="K127" s="357"/>
      <c r="L127" s="268" t="s">
        <v>868</v>
      </c>
      <c r="M127" s="597">
        <v>42658</v>
      </c>
    </row>
    <row r="128" spans="1:13" s="9" customFormat="1" ht="30.75" customHeight="1" thickBot="1" x14ac:dyDescent="0.25">
      <c r="A128" s="239">
        <v>33</v>
      </c>
      <c r="B128" s="240" t="s">
        <v>556</v>
      </c>
      <c r="C128" s="176"/>
      <c r="D128" s="17"/>
      <c r="E128" s="18"/>
      <c r="F128" s="18"/>
      <c r="G128" s="19"/>
      <c r="H128" s="17"/>
      <c r="I128" s="18"/>
      <c r="J128" s="18"/>
      <c r="K128" s="19"/>
      <c r="L128" s="185"/>
    </row>
    <row r="131" spans="2:11" ht="15.75" thickBot="1" x14ac:dyDescent="0.3"/>
    <row r="132" spans="2:11" x14ac:dyDescent="0.25">
      <c r="B132" s="276" t="s">
        <v>68</v>
      </c>
      <c r="C132" s="279">
        <f t="shared" ref="C132:K132" si="23">C35+C46+C53+C58+C77+C84</f>
        <v>6348076.6299999999</v>
      </c>
      <c r="D132" s="279">
        <f>D35+D46+D53+D58+D77+D84</f>
        <v>6348076.6299999999</v>
      </c>
      <c r="E132" s="279">
        <f t="shared" si="23"/>
        <v>4669645.169028</v>
      </c>
      <c r="F132" s="279">
        <f t="shared" si="23"/>
        <v>317403.83150000003</v>
      </c>
      <c r="G132" s="279">
        <f t="shared" si="23"/>
        <v>1361027.6294719998</v>
      </c>
      <c r="H132" s="279">
        <f t="shared" si="23"/>
        <v>5589962.6299999999</v>
      </c>
      <c r="I132" s="279">
        <f>I35+I46+I53+I58+I77+I84</f>
        <v>4112284.59</v>
      </c>
      <c r="J132" s="279">
        <f t="shared" si="23"/>
        <v>279498.13</v>
      </c>
      <c r="K132" s="277">
        <f t="shared" si="23"/>
        <v>1198179.9100000001</v>
      </c>
    </row>
    <row r="133" spans="2:11" x14ac:dyDescent="0.25">
      <c r="B133" s="278" t="s">
        <v>64</v>
      </c>
      <c r="C133" s="12">
        <f t="shared" ref="C133:K133" si="24">C36+C47+C59+C78+C85</f>
        <v>13481025.299999999</v>
      </c>
      <c r="D133" s="12">
        <f>D36+D47+D59+D78+D85</f>
        <v>13481025.299999999</v>
      </c>
      <c r="E133" s="12">
        <f t="shared" si="24"/>
        <v>9117291.1873728</v>
      </c>
      <c r="F133" s="12">
        <f t="shared" si="24"/>
        <v>674051.26249999995</v>
      </c>
      <c r="G133" s="12">
        <f t="shared" si="24"/>
        <v>3689682.8501271997</v>
      </c>
      <c r="H133" s="12">
        <f t="shared" si="24"/>
        <v>13481025.300000001</v>
      </c>
      <c r="I133" s="12">
        <f t="shared" si="24"/>
        <v>9118016.8399999999</v>
      </c>
      <c r="J133" s="12">
        <f t="shared" si="24"/>
        <v>674051.27</v>
      </c>
      <c r="K133" s="16">
        <f t="shared" si="24"/>
        <v>3688957.1899999995</v>
      </c>
    </row>
    <row r="134" spans="2:11" x14ac:dyDescent="0.25">
      <c r="B134" s="278" t="s">
        <v>65</v>
      </c>
      <c r="C134" s="12">
        <f t="shared" ref="C134:K134" si="25">C37+C48+C54+C60+C79+C86</f>
        <v>1723832.31</v>
      </c>
      <c r="D134" s="12">
        <f>D37+D48+D54+D60+D79+D86</f>
        <v>1723832.31</v>
      </c>
      <c r="E134" s="12">
        <f t="shared" si="25"/>
        <v>1268051.047236</v>
      </c>
      <c r="F134" s="12">
        <f t="shared" si="25"/>
        <v>86191.6155</v>
      </c>
      <c r="G134" s="12">
        <f t="shared" si="25"/>
        <v>369589.64726399997</v>
      </c>
      <c r="H134" s="12">
        <f t="shared" si="25"/>
        <v>1723832.31</v>
      </c>
      <c r="I134" s="12">
        <f t="shared" si="25"/>
        <v>1268148.03</v>
      </c>
      <c r="J134" s="12">
        <f t="shared" si="25"/>
        <v>86191.61</v>
      </c>
      <c r="K134" s="16">
        <f t="shared" si="25"/>
        <v>369492.67</v>
      </c>
    </row>
    <row r="135" spans="2:11" x14ac:dyDescent="0.25">
      <c r="B135" s="278" t="s">
        <v>66</v>
      </c>
      <c r="C135" s="12">
        <f t="shared" ref="C135:K135" si="26">C38+C49+C55+C61+C80+C87</f>
        <v>4521671.38</v>
      </c>
      <c r="D135" s="12">
        <f>D38+D49+D55+D61+D80+D87</f>
        <v>4521671.379999999</v>
      </c>
      <c r="E135" s="12">
        <f t="shared" si="26"/>
        <v>3879701.1120159999</v>
      </c>
      <c r="F135" s="12">
        <f t="shared" si="26"/>
        <v>226083.568</v>
      </c>
      <c r="G135" s="12">
        <f t="shared" si="26"/>
        <v>415886.69998399995</v>
      </c>
      <c r="H135" s="12">
        <f t="shared" si="26"/>
        <v>1319537.3600000001</v>
      </c>
      <c r="I135" s="12">
        <f t="shared" si="26"/>
        <v>970749.02</v>
      </c>
      <c r="J135" s="12">
        <f t="shared" si="26"/>
        <v>65976.87</v>
      </c>
      <c r="K135" s="16">
        <f t="shared" si="26"/>
        <v>282811.47000000003</v>
      </c>
    </row>
    <row r="136" spans="2:11" x14ac:dyDescent="0.25">
      <c r="B136" s="278" t="s">
        <v>555</v>
      </c>
      <c r="C136" s="12">
        <f t="shared" ref="C136:G136" si="27">C8+C11+C14+C17+C20+C23+C26+C29+C32+C39+C43+C62+C66+C70+C88+C92+C95+C98+C101+C104+C107+C110+C113+C116+C119+C122</f>
        <v>112618755.38999999</v>
      </c>
      <c r="D136" s="12">
        <f t="shared" si="27"/>
        <v>112618755.39</v>
      </c>
      <c r="E136" s="12">
        <f t="shared" si="27"/>
        <v>81087594.545665115</v>
      </c>
      <c r="F136" s="12">
        <f t="shared" si="27"/>
        <v>5630937.7640000004</v>
      </c>
      <c r="G136" s="12">
        <f t="shared" si="27"/>
        <v>25900223.080334898</v>
      </c>
      <c r="H136" s="12">
        <f>H8+H11+H14+H17+H20+H23+H26+H29+H32+H39+H43+H62+H66+H70+H88+H92+H95+H98+H101+H104+H107+H110+H113+H116+H119+H122</f>
        <v>94079482.850000009</v>
      </c>
      <c r="I136" s="12">
        <f>I8+I11+I14+I17+I20+I23+I26+I29+I32+I39+I43+I62+I66+I70+I88+I92+I95+I98+I101+I104+I107+I110+I113+I116+I119+I122</f>
        <v>66302952.650000006</v>
      </c>
      <c r="J136" s="12">
        <f t="shared" ref="J136:K136" si="28">J8+J11+J14+J17+J20+J23+J26+J29+J32+J39+J43+J62+J66+J70+J88+J92+J95+J98+J101+J104+J107+J110+J113+J116+J119+J122</f>
        <v>4703974.1400000006</v>
      </c>
      <c r="K136" s="16">
        <f t="shared" si="28"/>
        <v>23072556.060000002</v>
      </c>
    </row>
    <row r="137" spans="2:11" x14ac:dyDescent="0.25">
      <c r="B137" s="278" t="s">
        <v>557</v>
      </c>
      <c r="C137" s="12">
        <f>C40+C50+C56+C63+C67+C71+C74+C81+C89+C127</f>
        <v>6941703.5099999998</v>
      </c>
      <c r="D137" s="12">
        <f t="shared" ref="D137:K137" si="29">D40+D50+D56+D63+D67+D71+D74+D81+D89+D127</f>
        <v>6941703.5099999988</v>
      </c>
      <c r="E137" s="12">
        <f t="shared" si="29"/>
        <v>5238734.26</v>
      </c>
      <c r="F137" s="12">
        <f t="shared" si="29"/>
        <v>337355.03</v>
      </c>
      <c r="G137" s="12">
        <f t="shared" si="29"/>
        <v>1365614.22</v>
      </c>
      <c r="H137" s="12">
        <f t="shared" si="29"/>
        <v>6070031</v>
      </c>
      <c r="I137" s="12">
        <f t="shared" si="29"/>
        <v>4465114.8</v>
      </c>
      <c r="J137" s="12">
        <f t="shared" si="29"/>
        <v>303501.55</v>
      </c>
      <c r="K137" s="12">
        <f t="shared" si="29"/>
        <v>1301414.6499999999</v>
      </c>
    </row>
    <row r="138" spans="2:11" x14ac:dyDescent="0.25">
      <c r="B138" s="281" t="s">
        <v>67</v>
      </c>
      <c r="C138" s="12">
        <f>C9+C12+C15+C18+C21+C24+C27+C30+C33+C41+C44+C51+C64+C68+C72+C75+C82+C90+C93+C96+C99+C102+C105+C108+C111+C114+C117+C120+C123+C128+C125</f>
        <v>5243838.9999999991</v>
      </c>
      <c r="D138" s="12">
        <f>D9+D12+D15+D18+D21+D24+D27+D30+D33+D41+D44+D51+D64+D68+D72+D75+D82+D90+D93+D96+D99+D102+D105+D108+D111+D114+D117+D120+D123+D125+D128</f>
        <v>5243838.9999999991</v>
      </c>
      <c r="E138" s="12">
        <f t="shared" ref="E138:K138" si="30">E9+E12+E15+E18+E21+E24+E27+E30+E33+E41+E44+E51+E64+E68+E72+E75+E82+E90+E93+E96+E99+E102+E105+E108+E111+E114+E117+E120+E123+E125+E128</f>
        <v>3854742.8124560006</v>
      </c>
      <c r="F138" s="12">
        <f t="shared" si="30"/>
        <v>262191.95000000007</v>
      </c>
      <c r="G138" s="12">
        <f t="shared" si="30"/>
        <v>1126904.2375439997</v>
      </c>
      <c r="H138" s="12">
        <f t="shared" si="30"/>
        <v>5243838.9999999991</v>
      </c>
      <c r="I138" s="12">
        <f t="shared" si="30"/>
        <v>3854742.82</v>
      </c>
      <c r="J138" s="12">
        <f t="shared" si="30"/>
        <v>262191.94999999995</v>
      </c>
      <c r="K138" s="16">
        <f t="shared" si="30"/>
        <v>1126904.23</v>
      </c>
    </row>
    <row r="139" spans="2:11" ht="15.75" thickBot="1" x14ac:dyDescent="0.3">
      <c r="B139" s="282" t="s">
        <v>625</v>
      </c>
      <c r="C139" s="18">
        <f t="shared" ref="C139:K139" si="31">SUBTOTAL(9,C132:C138)</f>
        <v>150878903.51999998</v>
      </c>
      <c r="D139" s="18">
        <f t="shared" si="31"/>
        <v>150878903.51999998</v>
      </c>
      <c r="E139" s="18">
        <f t="shared" si="31"/>
        <v>109115760.13377392</v>
      </c>
      <c r="F139" s="18">
        <f t="shared" si="31"/>
        <v>7534215.0215000007</v>
      </c>
      <c r="G139" s="18">
        <f t="shared" si="31"/>
        <v>34228928.364726096</v>
      </c>
      <c r="H139" s="18">
        <f t="shared" si="31"/>
        <v>127507710.45</v>
      </c>
      <c r="I139" s="18">
        <f t="shared" si="31"/>
        <v>90092008.75</v>
      </c>
      <c r="J139" s="18">
        <f t="shared" si="31"/>
        <v>6375385.5200000005</v>
      </c>
      <c r="K139" s="19">
        <f t="shared" si="31"/>
        <v>31040316.18</v>
      </c>
    </row>
    <row r="140" spans="2:11" x14ac:dyDescent="0.25">
      <c r="B140" s="71"/>
      <c r="C140" s="96">
        <f t="shared" ref="C140:K140" si="32">C6</f>
        <v>150878903.52000001</v>
      </c>
      <c r="D140" s="96">
        <f t="shared" si="32"/>
        <v>150878903.52000001</v>
      </c>
      <c r="E140" s="96">
        <f t="shared" si="32"/>
        <v>109115760.13377391</v>
      </c>
      <c r="F140" s="96">
        <f t="shared" si="32"/>
        <v>7534215.0215000007</v>
      </c>
      <c r="G140" s="96">
        <f t="shared" si="32"/>
        <v>34228928.364726089</v>
      </c>
      <c r="H140" s="96">
        <f t="shared" si="32"/>
        <v>127507710.44999999</v>
      </c>
      <c r="I140" s="96">
        <f t="shared" si="32"/>
        <v>90092008.749999985</v>
      </c>
      <c r="J140" s="96">
        <f t="shared" si="32"/>
        <v>6375385.5199999996</v>
      </c>
      <c r="K140" s="96">
        <f t="shared" si="32"/>
        <v>31040316.18</v>
      </c>
    </row>
    <row r="141" spans="2:11" x14ac:dyDescent="0.25">
      <c r="B141" s="96" t="s">
        <v>627</v>
      </c>
      <c r="C141" s="96">
        <f>C139-C140</f>
        <v>0</v>
      </c>
      <c r="D141" s="96">
        <f t="shared" ref="D141:K141" si="33">D139-D140</f>
        <v>0</v>
      </c>
      <c r="E141" s="96">
        <f t="shared" si="33"/>
        <v>0</v>
      </c>
      <c r="F141" s="96">
        <f t="shared" si="33"/>
        <v>0</v>
      </c>
      <c r="G141" s="96">
        <f t="shared" si="33"/>
        <v>0</v>
      </c>
      <c r="H141" s="96">
        <f t="shared" si="33"/>
        <v>0</v>
      </c>
      <c r="I141" s="96">
        <f t="shared" si="33"/>
        <v>0</v>
      </c>
      <c r="J141" s="96">
        <f t="shared" si="33"/>
        <v>0</v>
      </c>
      <c r="K141" s="96">
        <f t="shared" si="33"/>
        <v>0</v>
      </c>
    </row>
  </sheetData>
  <autoFilter ref="A7:M128"/>
  <mergeCells count="11">
    <mergeCell ref="M4:M5"/>
    <mergeCell ref="L58:L61"/>
    <mergeCell ref="A1:L3"/>
    <mergeCell ref="A4:A5"/>
    <mergeCell ref="B4:B5"/>
    <mergeCell ref="D4:G4"/>
    <mergeCell ref="H4:K4"/>
    <mergeCell ref="L4:L5"/>
    <mergeCell ref="L46:L49"/>
    <mergeCell ref="C4:C5"/>
    <mergeCell ref="L35:L37"/>
  </mergeCells>
  <pageMargins left="0.23622047244094491" right="0.23622047244094491" top="0.74803149606299213" bottom="0.74803149606299213" header="0.31496062992125984" footer="0.31496062992125984"/>
  <pageSetup paperSize="9" scale="60" fitToWidth="0" fitToHeight="0" orientation="landscape" r:id="rId1"/>
  <rowBreaks count="2" manualBreakCount="2">
    <brk id="33" max="12" man="1"/>
    <brk id="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N28"/>
  <sheetViews>
    <sheetView tabSelected="1" view="pageBreakPreview" zoomScale="85" zoomScaleNormal="85" zoomScaleSheetLayoutView="85" workbookViewId="0">
      <selection activeCell="AX7" sqref="AX7"/>
    </sheetView>
  </sheetViews>
  <sheetFormatPr defaultColWidth="9.140625" defaultRowHeight="15" x14ac:dyDescent="0.25"/>
  <cols>
    <col min="1" max="1" width="3.7109375" style="2" customWidth="1"/>
    <col min="2" max="2" width="32.7109375" style="8" customWidth="1"/>
    <col min="3" max="4" width="5.42578125" style="8" customWidth="1"/>
    <col min="5" max="5" width="3.7109375" style="8" customWidth="1"/>
    <col min="6" max="6" width="4" style="8" customWidth="1"/>
    <col min="7" max="14" width="5.42578125" style="8" customWidth="1"/>
    <col min="15" max="16" width="5.42578125" style="9" customWidth="1"/>
    <col min="17" max="17" width="5.42578125" style="446" customWidth="1"/>
    <col min="18" max="18" width="4.42578125" style="9" customWidth="1"/>
    <col min="19" max="19" width="4.5703125" style="9" customWidth="1"/>
    <col min="20" max="22" width="5.42578125" style="2" customWidth="1"/>
    <col min="23" max="24" width="5.42578125" style="9" customWidth="1"/>
    <col min="25" max="27" width="5.42578125" style="2" customWidth="1"/>
    <col min="28" max="28" width="5.42578125" style="9" customWidth="1"/>
    <col min="29" max="29" width="4.85546875" style="448" customWidth="1"/>
    <col min="30" max="30" width="8" style="9" hidden="1" customWidth="1"/>
    <col min="31" max="31" width="6.42578125" style="9" hidden="1" customWidth="1"/>
    <col min="32" max="32" width="5.140625" style="9" hidden="1" customWidth="1"/>
    <col min="33" max="33" width="5.85546875" style="9" hidden="1" customWidth="1"/>
    <col min="34" max="34" width="6.42578125" style="9" hidden="1" customWidth="1"/>
    <col min="35" max="35" width="6.5703125" style="9" hidden="1" customWidth="1"/>
    <col min="36" max="36" width="5.5703125" style="9" hidden="1" customWidth="1"/>
    <col min="37" max="37" width="6" style="9" hidden="1" customWidth="1"/>
    <col min="38" max="38" width="7.7109375" style="9" hidden="1" customWidth="1"/>
    <col min="39" max="39" width="7.85546875" style="9" hidden="1" customWidth="1"/>
    <col min="40" max="40" width="5.7109375" style="9" hidden="1" customWidth="1"/>
    <col min="41" max="41" width="5.5703125" style="9" hidden="1" customWidth="1"/>
    <col min="42" max="42" width="10.28515625" style="2" customWidth="1"/>
    <col min="43" max="43" width="6.42578125" style="2" customWidth="1"/>
    <col min="44" max="44" width="5.140625" style="2" customWidth="1"/>
    <col min="45" max="45" width="6.140625" style="2" customWidth="1"/>
    <col min="46" max="46" width="6.42578125" style="2" customWidth="1"/>
    <col min="47" max="48" width="5.85546875" style="2" customWidth="1"/>
    <col min="49" max="49" width="5.7109375" style="2" customWidth="1"/>
    <col min="50" max="50" width="7.7109375" style="2" customWidth="1"/>
    <col min="51" max="51" width="6" style="2" customWidth="1"/>
    <col min="52" max="52" width="4.7109375" style="2" customWidth="1"/>
    <col min="53" max="53" width="4.85546875" style="2" customWidth="1"/>
    <col min="54" max="54" width="7.7109375" style="2" customWidth="1"/>
    <col min="55" max="55" width="5.85546875" style="2" customWidth="1"/>
    <col min="56" max="56" width="5.5703125" style="2" customWidth="1"/>
    <col min="57" max="57" width="6.140625" style="2" customWidth="1"/>
    <col min="58" max="58" width="6.7109375" style="2" customWidth="1"/>
    <col min="59" max="59" width="5.7109375" style="2" customWidth="1"/>
    <col min="60" max="61" width="5.5703125" style="2" customWidth="1"/>
    <col min="62" max="62" width="7.85546875" style="2" customWidth="1"/>
    <col min="63" max="63" width="6.140625" style="2" customWidth="1"/>
    <col min="64" max="64" width="4.7109375" style="2" customWidth="1"/>
    <col min="65" max="65" width="5" style="2" customWidth="1"/>
    <col min="66" max="66" width="5.5703125" style="2" customWidth="1"/>
    <col min="67" max="16384" width="9.140625" style="2"/>
  </cols>
  <sheetData>
    <row r="1" spans="1:66" ht="15" customHeight="1" x14ac:dyDescent="0.25">
      <c r="A1" s="753" t="s">
        <v>875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4"/>
      <c r="AV1" s="754"/>
      <c r="AW1" s="754"/>
      <c r="AX1" s="754"/>
      <c r="AY1" s="754"/>
      <c r="AZ1" s="754"/>
      <c r="BA1" s="754"/>
      <c r="BB1" s="754"/>
      <c r="BC1" s="754"/>
      <c r="BD1" s="754"/>
      <c r="BE1" s="754"/>
      <c r="BF1" s="754"/>
      <c r="BG1" s="754"/>
      <c r="BH1" s="754"/>
      <c r="BI1" s="754"/>
      <c r="BJ1" s="754"/>
      <c r="BK1" s="754"/>
      <c r="BL1" s="754"/>
      <c r="BM1" s="754"/>
      <c r="BN1" s="755"/>
    </row>
    <row r="2" spans="1:66" ht="15" customHeight="1" x14ac:dyDescent="0.25">
      <c r="A2" s="756"/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  <c r="AL2" s="733"/>
      <c r="AM2" s="733"/>
      <c r="AN2" s="733"/>
      <c r="AO2" s="733"/>
      <c r="AP2" s="733"/>
      <c r="AQ2" s="733"/>
      <c r="AR2" s="733"/>
      <c r="AS2" s="733"/>
      <c r="AT2" s="733"/>
      <c r="AU2" s="733"/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  <c r="BG2" s="733"/>
      <c r="BH2" s="733"/>
      <c r="BI2" s="733"/>
      <c r="BJ2" s="733"/>
      <c r="BK2" s="733"/>
      <c r="BL2" s="733"/>
      <c r="BM2" s="733"/>
      <c r="BN2" s="757"/>
    </row>
    <row r="3" spans="1:66" ht="21.75" customHeight="1" thickBot="1" x14ac:dyDescent="0.3">
      <c r="A3" s="758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732"/>
      <c r="AY3" s="732"/>
      <c r="AZ3" s="732"/>
      <c r="BA3" s="732"/>
      <c r="BB3" s="732"/>
      <c r="BC3" s="732"/>
      <c r="BD3" s="732"/>
      <c r="BE3" s="732"/>
      <c r="BF3" s="732"/>
      <c r="BG3" s="732"/>
      <c r="BH3" s="732"/>
      <c r="BI3" s="732"/>
      <c r="BJ3" s="732"/>
      <c r="BK3" s="732"/>
      <c r="BL3" s="732"/>
      <c r="BM3" s="732"/>
      <c r="BN3" s="759"/>
    </row>
    <row r="4" spans="1:66" s="110" customFormat="1" ht="32.25" customHeight="1" thickBot="1" x14ac:dyDescent="0.3">
      <c r="A4" s="744" t="s">
        <v>0</v>
      </c>
      <c r="B4" s="761" t="s">
        <v>1</v>
      </c>
      <c r="C4" s="763" t="s">
        <v>71</v>
      </c>
      <c r="D4" s="768" t="s">
        <v>544</v>
      </c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70"/>
      <c r="P4" s="763" t="s">
        <v>71</v>
      </c>
      <c r="Q4" s="768" t="s">
        <v>545</v>
      </c>
      <c r="R4" s="769"/>
      <c r="S4" s="769"/>
      <c r="T4" s="769"/>
      <c r="U4" s="769"/>
      <c r="V4" s="769"/>
      <c r="W4" s="769"/>
      <c r="X4" s="769"/>
      <c r="Y4" s="769"/>
      <c r="Z4" s="769"/>
      <c r="AA4" s="769"/>
      <c r="AB4" s="770"/>
      <c r="AC4" s="771" t="s">
        <v>680</v>
      </c>
      <c r="AD4" s="765" t="s">
        <v>681</v>
      </c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7"/>
      <c r="AP4" s="768" t="s">
        <v>546</v>
      </c>
      <c r="AQ4" s="769"/>
      <c r="AR4" s="769"/>
      <c r="AS4" s="769"/>
      <c r="AT4" s="769"/>
      <c r="AU4" s="769"/>
      <c r="AV4" s="769"/>
      <c r="AW4" s="769"/>
      <c r="AX4" s="769"/>
      <c r="AY4" s="769"/>
      <c r="AZ4" s="769"/>
      <c r="BA4" s="770"/>
      <c r="BB4" s="768" t="s">
        <v>547</v>
      </c>
      <c r="BC4" s="769"/>
      <c r="BD4" s="769"/>
      <c r="BE4" s="769"/>
      <c r="BF4" s="769"/>
      <c r="BG4" s="769"/>
      <c r="BH4" s="769"/>
      <c r="BI4" s="769"/>
      <c r="BJ4" s="769"/>
      <c r="BK4" s="769"/>
      <c r="BL4" s="769"/>
      <c r="BM4" s="769"/>
      <c r="BN4" s="773" t="s">
        <v>679</v>
      </c>
    </row>
    <row r="5" spans="1:66" s="110" customFormat="1" ht="62.25" customHeight="1" x14ac:dyDescent="0.25">
      <c r="A5" s="745"/>
      <c r="B5" s="762"/>
      <c r="C5" s="764"/>
      <c r="D5" s="443" t="s">
        <v>678</v>
      </c>
      <c r="E5" s="713" t="s">
        <v>67</v>
      </c>
      <c r="F5" s="423" t="s">
        <v>554</v>
      </c>
      <c r="G5" s="423" t="s">
        <v>536</v>
      </c>
      <c r="H5" s="423" t="s">
        <v>537</v>
      </c>
      <c r="I5" s="423" t="s">
        <v>538</v>
      </c>
      <c r="J5" s="423" t="s">
        <v>541</v>
      </c>
      <c r="K5" s="423" t="s">
        <v>623</v>
      </c>
      <c r="L5" s="423" t="s">
        <v>539</v>
      </c>
      <c r="M5" s="423" t="s">
        <v>540</v>
      </c>
      <c r="N5" s="423" t="s">
        <v>542</v>
      </c>
      <c r="O5" s="424" t="s">
        <v>543</v>
      </c>
      <c r="P5" s="764"/>
      <c r="Q5" s="443" t="s">
        <v>678</v>
      </c>
      <c r="R5" s="422" t="s">
        <v>67</v>
      </c>
      <c r="S5" s="423" t="s">
        <v>554</v>
      </c>
      <c r="T5" s="423" t="s">
        <v>536</v>
      </c>
      <c r="U5" s="423" t="s">
        <v>537</v>
      </c>
      <c r="V5" s="423" t="s">
        <v>538</v>
      </c>
      <c r="W5" s="423" t="s">
        <v>541</v>
      </c>
      <c r="X5" s="423" t="s">
        <v>623</v>
      </c>
      <c r="Y5" s="423" t="s">
        <v>539</v>
      </c>
      <c r="Z5" s="423" t="s">
        <v>540</v>
      </c>
      <c r="AA5" s="423" t="s">
        <v>542</v>
      </c>
      <c r="AB5" s="424" t="s">
        <v>543</v>
      </c>
      <c r="AC5" s="772"/>
      <c r="AD5" s="443" t="s">
        <v>678</v>
      </c>
      <c r="AE5" s="461" t="s">
        <v>67</v>
      </c>
      <c r="AF5" s="461" t="s">
        <v>624</v>
      </c>
      <c r="AG5" s="461" t="s">
        <v>536</v>
      </c>
      <c r="AH5" s="461" t="s">
        <v>537</v>
      </c>
      <c r="AI5" s="461" t="s">
        <v>538</v>
      </c>
      <c r="AJ5" s="461" t="s">
        <v>541</v>
      </c>
      <c r="AK5" s="461" t="s">
        <v>623</v>
      </c>
      <c r="AL5" s="461" t="s">
        <v>539</v>
      </c>
      <c r="AM5" s="461" t="s">
        <v>540</v>
      </c>
      <c r="AN5" s="461" t="s">
        <v>542</v>
      </c>
      <c r="AO5" s="462" t="s">
        <v>543</v>
      </c>
      <c r="AP5" s="443" t="s">
        <v>678</v>
      </c>
      <c r="AQ5" s="422" t="s">
        <v>67</v>
      </c>
      <c r="AR5" s="423" t="s">
        <v>624</v>
      </c>
      <c r="AS5" s="423" t="s">
        <v>536</v>
      </c>
      <c r="AT5" s="423" t="s">
        <v>537</v>
      </c>
      <c r="AU5" s="423" t="s">
        <v>538</v>
      </c>
      <c r="AV5" s="423" t="s">
        <v>541</v>
      </c>
      <c r="AW5" s="423" t="s">
        <v>623</v>
      </c>
      <c r="AX5" s="423" t="s">
        <v>539</v>
      </c>
      <c r="AY5" s="423" t="s">
        <v>540</v>
      </c>
      <c r="AZ5" s="423" t="s">
        <v>542</v>
      </c>
      <c r="BA5" s="424" t="s">
        <v>543</v>
      </c>
      <c r="BB5" s="443" t="s">
        <v>678</v>
      </c>
      <c r="BC5" s="422" t="s">
        <v>67</v>
      </c>
      <c r="BD5" s="423" t="s">
        <v>624</v>
      </c>
      <c r="BE5" s="423" t="s">
        <v>536</v>
      </c>
      <c r="BF5" s="423" t="s">
        <v>537</v>
      </c>
      <c r="BG5" s="423" t="s">
        <v>538</v>
      </c>
      <c r="BH5" s="423" t="s">
        <v>541</v>
      </c>
      <c r="BI5" s="423" t="s">
        <v>623</v>
      </c>
      <c r="BJ5" s="423" t="s">
        <v>539</v>
      </c>
      <c r="BK5" s="423" t="s">
        <v>540</v>
      </c>
      <c r="BL5" s="423" t="s">
        <v>542</v>
      </c>
      <c r="BM5" s="460" t="s">
        <v>543</v>
      </c>
      <c r="BN5" s="774"/>
    </row>
    <row r="6" spans="1:66" s="473" customFormat="1" ht="15" customHeight="1" thickBot="1" x14ac:dyDescent="0.3">
      <c r="A6" s="488">
        <v>1</v>
      </c>
      <c r="B6" s="489">
        <v>2</v>
      </c>
      <c r="C6" s="490">
        <v>3</v>
      </c>
      <c r="D6" s="491">
        <v>4</v>
      </c>
      <c r="E6" s="492">
        <v>5</v>
      </c>
      <c r="F6" s="493">
        <v>6</v>
      </c>
      <c r="G6" s="493">
        <v>7</v>
      </c>
      <c r="H6" s="493">
        <v>8</v>
      </c>
      <c r="I6" s="493">
        <v>9</v>
      </c>
      <c r="J6" s="493">
        <v>10</v>
      </c>
      <c r="K6" s="493">
        <v>11</v>
      </c>
      <c r="L6" s="493">
        <v>12</v>
      </c>
      <c r="M6" s="493">
        <v>13</v>
      </c>
      <c r="N6" s="493">
        <v>14</v>
      </c>
      <c r="O6" s="494">
        <v>15</v>
      </c>
      <c r="P6" s="490">
        <v>16</v>
      </c>
      <c r="Q6" s="491">
        <v>17</v>
      </c>
      <c r="R6" s="495">
        <v>18</v>
      </c>
      <c r="S6" s="493">
        <v>19</v>
      </c>
      <c r="T6" s="493">
        <v>20</v>
      </c>
      <c r="U6" s="493">
        <v>21</v>
      </c>
      <c r="V6" s="493">
        <v>22</v>
      </c>
      <c r="W6" s="493">
        <v>23</v>
      </c>
      <c r="X6" s="493">
        <v>24</v>
      </c>
      <c r="Y6" s="493">
        <v>25</v>
      </c>
      <c r="Z6" s="493">
        <v>26</v>
      </c>
      <c r="AA6" s="493">
        <v>27</v>
      </c>
      <c r="AB6" s="494">
        <v>28</v>
      </c>
      <c r="AC6" s="491">
        <v>29</v>
      </c>
      <c r="AD6" s="491">
        <v>30</v>
      </c>
      <c r="AE6" s="492">
        <v>31</v>
      </c>
      <c r="AF6" s="493">
        <v>32</v>
      </c>
      <c r="AG6" s="493">
        <v>33</v>
      </c>
      <c r="AH6" s="493">
        <v>34</v>
      </c>
      <c r="AI6" s="493">
        <v>35</v>
      </c>
      <c r="AJ6" s="493">
        <v>36</v>
      </c>
      <c r="AK6" s="493">
        <v>37</v>
      </c>
      <c r="AL6" s="493">
        <v>38</v>
      </c>
      <c r="AM6" s="493">
        <v>39</v>
      </c>
      <c r="AN6" s="493">
        <v>40</v>
      </c>
      <c r="AO6" s="494">
        <v>41</v>
      </c>
      <c r="AP6" s="491">
        <v>42</v>
      </c>
      <c r="AQ6" s="495">
        <v>43</v>
      </c>
      <c r="AR6" s="493">
        <v>44</v>
      </c>
      <c r="AS6" s="493">
        <v>45</v>
      </c>
      <c r="AT6" s="493">
        <v>46</v>
      </c>
      <c r="AU6" s="493">
        <v>47</v>
      </c>
      <c r="AV6" s="493">
        <v>48</v>
      </c>
      <c r="AW6" s="493">
        <v>49</v>
      </c>
      <c r="AX6" s="493">
        <v>50</v>
      </c>
      <c r="AY6" s="493">
        <v>51</v>
      </c>
      <c r="AZ6" s="493">
        <v>52</v>
      </c>
      <c r="BA6" s="494">
        <v>53</v>
      </c>
      <c r="BB6" s="491">
        <v>54</v>
      </c>
      <c r="BC6" s="495">
        <v>55</v>
      </c>
      <c r="BD6" s="493">
        <v>56</v>
      </c>
      <c r="BE6" s="493">
        <v>57</v>
      </c>
      <c r="BF6" s="493">
        <v>58</v>
      </c>
      <c r="BG6" s="493">
        <v>59</v>
      </c>
      <c r="BH6" s="493">
        <v>60</v>
      </c>
      <c r="BI6" s="493">
        <v>61</v>
      </c>
      <c r="BJ6" s="493">
        <v>62</v>
      </c>
      <c r="BK6" s="493">
        <v>63</v>
      </c>
      <c r="BL6" s="493">
        <v>64</v>
      </c>
      <c r="BM6" s="496">
        <v>65</v>
      </c>
      <c r="BN6" s="497">
        <v>66</v>
      </c>
    </row>
    <row r="7" spans="1:66" s="25" customFormat="1" x14ac:dyDescent="0.25">
      <c r="A7" s="474">
        <v>1</v>
      </c>
      <c r="B7" s="475" t="s">
        <v>8</v>
      </c>
      <c r="C7" s="476">
        <v>28</v>
      </c>
      <c r="D7" s="477">
        <f>SUM(G7:O7)</f>
        <v>71</v>
      </c>
      <c r="E7" s="449"/>
      <c r="F7" s="450"/>
      <c r="G7" s="450">
        <v>14</v>
      </c>
      <c r="H7" s="450">
        <v>13</v>
      </c>
      <c r="I7" s="450">
        <v>14</v>
      </c>
      <c r="J7" s="450">
        <v>14</v>
      </c>
      <c r="K7" s="450"/>
      <c r="L7" s="450">
        <v>16</v>
      </c>
      <c r="M7" s="450"/>
      <c r="N7" s="450"/>
      <c r="O7" s="451"/>
      <c r="P7" s="478">
        <v>11</v>
      </c>
      <c r="Q7" s="479">
        <f>SUM(T7:AB7)</f>
        <v>28</v>
      </c>
      <c r="R7" s="472">
        <v>26</v>
      </c>
      <c r="S7" s="450"/>
      <c r="T7" s="450">
        <v>4</v>
      </c>
      <c r="U7" s="450">
        <v>5</v>
      </c>
      <c r="V7" s="450">
        <v>5</v>
      </c>
      <c r="W7" s="450">
        <v>5</v>
      </c>
      <c r="X7" s="450"/>
      <c r="Y7" s="450">
        <v>9</v>
      </c>
      <c r="Z7" s="450"/>
      <c r="AA7" s="450"/>
      <c r="AB7" s="451"/>
      <c r="AC7" s="480">
        <f>Q7/D7</f>
        <v>0.39436619718309857</v>
      </c>
      <c r="AD7" s="481">
        <f>SUM(AE7:AO7)</f>
        <v>151830.10399999999</v>
      </c>
      <c r="AE7" s="482">
        <v>8174.076</v>
      </c>
      <c r="AF7" s="483">
        <v>0</v>
      </c>
      <c r="AG7" s="483">
        <v>10307.894</v>
      </c>
      <c r="AH7" s="483">
        <v>45892.805</v>
      </c>
      <c r="AI7" s="483">
        <v>7673.6750000000002</v>
      </c>
      <c r="AJ7" s="483">
        <v>5586.1239999999998</v>
      </c>
      <c r="AK7" s="483">
        <v>0</v>
      </c>
      <c r="AL7" s="483">
        <v>74195.53</v>
      </c>
      <c r="AM7" s="483">
        <v>0</v>
      </c>
      <c r="AN7" s="483">
        <v>0</v>
      </c>
      <c r="AO7" s="484">
        <v>0</v>
      </c>
      <c r="AP7" s="481">
        <f t="shared" ref="AP7:AP21" si="0">SUM(AQ7:BA7)</f>
        <v>69328.956300000005</v>
      </c>
      <c r="AQ7" s="486">
        <f>'Алек-Сах'!D139/1000</f>
        <v>3674.0762500000001</v>
      </c>
      <c r="AR7" s="483"/>
      <c r="AS7" s="483">
        <f>'Алек-Сах'!D134/1000</f>
        <v>3546.7771200000002</v>
      </c>
      <c r="AT7" s="483">
        <f>'Алек-Сах'!D135/1000</f>
        <v>19860.947620000003</v>
      </c>
      <c r="AU7" s="483">
        <f>'Алек-Сах'!D136/1000</f>
        <v>2563.1502999999998</v>
      </c>
      <c r="AV7" s="483">
        <f>'Алек-Сах'!D137/1000</f>
        <v>2547.0624800000001</v>
      </c>
      <c r="AW7" s="483">
        <v>0</v>
      </c>
      <c r="AX7" s="483">
        <f>'Алек-Сах'!C138/1000</f>
        <v>37136.94253</v>
      </c>
      <c r="AY7" s="483">
        <v>0</v>
      </c>
      <c r="AZ7" s="483">
        <v>0</v>
      </c>
      <c r="BA7" s="484">
        <v>0</v>
      </c>
      <c r="BB7" s="481">
        <f t="shared" ref="BB7:BB26" si="1">SUM(BC7:BM7)</f>
        <v>40350.481530000005</v>
      </c>
      <c r="BC7" s="486">
        <f>'Алек-Сах'!H139/1000</f>
        <v>3674.0762500000001</v>
      </c>
      <c r="BD7" s="483"/>
      <c r="BE7" s="483">
        <f>'Алек-Сах'!H134/1000</f>
        <v>3546.7771200000002</v>
      </c>
      <c r="BF7" s="483">
        <f>'Алек-Сах'!H135/1000</f>
        <v>19860.947620000003</v>
      </c>
      <c r="BG7" s="483">
        <f>'Алек-Сах'!H136/1000</f>
        <v>2563.1502999999998</v>
      </c>
      <c r="BH7" s="483">
        <f>'Алек-Сах'!H137/1000</f>
        <v>2547.0624800000001</v>
      </c>
      <c r="BI7" s="483">
        <v>0</v>
      </c>
      <c r="BJ7" s="483">
        <f>'Алек-Сах'!H138/1000</f>
        <v>8158.4677599999995</v>
      </c>
      <c r="BK7" s="483">
        <v>0</v>
      </c>
      <c r="BL7" s="483">
        <v>0</v>
      </c>
      <c r="BM7" s="485">
        <v>0</v>
      </c>
      <c r="BN7" s="487">
        <f t="shared" ref="BN7:BN27" si="2">BB7/AD7</f>
        <v>0.26576074485202228</v>
      </c>
    </row>
    <row r="8" spans="1:66" s="25" customFormat="1" x14ac:dyDescent="0.25">
      <c r="A8" s="10">
        <v>2</v>
      </c>
      <c r="B8" s="409" t="s">
        <v>9</v>
      </c>
      <c r="C8" s="440">
        <v>24</v>
      </c>
      <c r="D8" s="466">
        <f t="shared" ref="D8:D26" si="3">SUM(G8:O8)</f>
        <v>28</v>
      </c>
      <c r="E8" s="455"/>
      <c r="F8" s="453"/>
      <c r="G8" s="453">
        <v>1</v>
      </c>
      <c r="H8" s="453">
        <v>2</v>
      </c>
      <c r="I8" s="453">
        <v>2</v>
      </c>
      <c r="J8" s="453"/>
      <c r="K8" s="453"/>
      <c r="L8" s="453">
        <v>19</v>
      </c>
      <c r="M8" s="453">
        <v>4</v>
      </c>
      <c r="N8" s="453"/>
      <c r="O8" s="454"/>
      <c r="P8" s="464">
        <v>19</v>
      </c>
      <c r="Q8" s="444">
        <f t="shared" ref="Q8:Q26" si="4">SUM(T8:AB8)</f>
        <v>23</v>
      </c>
      <c r="R8" s="452">
        <f>8+15</f>
        <v>23</v>
      </c>
      <c r="S8" s="453"/>
      <c r="T8" s="453">
        <v>1</v>
      </c>
      <c r="U8" s="453">
        <v>2</v>
      </c>
      <c r="V8" s="453">
        <v>2</v>
      </c>
      <c r="W8" s="453"/>
      <c r="X8" s="453"/>
      <c r="Y8" s="453">
        <v>18</v>
      </c>
      <c r="Z8" s="453"/>
      <c r="AA8" s="453"/>
      <c r="AB8" s="454"/>
      <c r="AC8" s="447">
        <f>Q8/D8</f>
        <v>0.8214285714285714</v>
      </c>
      <c r="AD8" s="420">
        <f t="shared" ref="AD8:AD26" si="5">SUM(AE8:AO8)</f>
        <v>107820.261</v>
      </c>
      <c r="AE8" s="413">
        <v>5702.3109999999997</v>
      </c>
      <c r="AF8" s="408">
        <v>0</v>
      </c>
      <c r="AG8" s="408">
        <v>661.63099999999997</v>
      </c>
      <c r="AH8" s="408">
        <v>4676.96</v>
      </c>
      <c r="AI8" s="408">
        <v>992.95600000000002</v>
      </c>
      <c r="AJ8" s="408">
        <v>0</v>
      </c>
      <c r="AK8" s="408">
        <v>0</v>
      </c>
      <c r="AL8" s="408">
        <v>71836.403000000006</v>
      </c>
      <c r="AM8" s="408">
        <v>23950</v>
      </c>
      <c r="AN8" s="408">
        <v>0</v>
      </c>
      <c r="AO8" s="416">
        <v>0</v>
      </c>
      <c r="AP8" s="420">
        <f t="shared" si="0"/>
        <v>74546.03601999997</v>
      </c>
      <c r="AQ8" s="415">
        <f>Анива!D87/1000</f>
        <v>2102.3111399999998</v>
      </c>
      <c r="AR8" s="408"/>
      <c r="AS8" s="408">
        <f>Анива!D82/1000</f>
        <v>661.63101999999992</v>
      </c>
      <c r="AT8" s="408">
        <f>Анива!D83/1000</f>
        <v>3739.3959200000004</v>
      </c>
      <c r="AU8" s="408">
        <f>Анива!D84/1000</f>
        <v>741.82623000000001</v>
      </c>
      <c r="AV8" s="408">
        <v>0</v>
      </c>
      <c r="AW8" s="408">
        <v>0</v>
      </c>
      <c r="AX8" s="408">
        <f>Анива!D85/1000</f>
        <v>67300.871709999978</v>
      </c>
      <c r="AY8" s="408">
        <f>Анива!D86/1000</f>
        <v>0</v>
      </c>
      <c r="AZ8" s="408">
        <v>0</v>
      </c>
      <c r="BA8" s="416">
        <v>0</v>
      </c>
      <c r="BB8" s="420">
        <f t="shared" si="1"/>
        <v>74546.03601999997</v>
      </c>
      <c r="BC8" s="415">
        <f>Анива!H87/1000</f>
        <v>2102.3111399999998</v>
      </c>
      <c r="BD8" s="408"/>
      <c r="BE8" s="408">
        <f>Анива!H82/1000</f>
        <v>661.63102000000003</v>
      </c>
      <c r="BF8" s="408">
        <f>Анива!H83/1000</f>
        <v>3739.3959199999999</v>
      </c>
      <c r="BG8" s="408">
        <f>Анива!H84/1000</f>
        <v>741.82623000000001</v>
      </c>
      <c r="BH8" s="408">
        <v>0</v>
      </c>
      <c r="BI8" s="408">
        <v>0</v>
      </c>
      <c r="BJ8" s="408">
        <f>Анива!H85/1000</f>
        <v>67300.871709999978</v>
      </c>
      <c r="BK8" s="408">
        <f>Анива!H86/1000</f>
        <v>0</v>
      </c>
      <c r="BL8" s="408">
        <v>0</v>
      </c>
      <c r="BM8" s="414">
        <v>0</v>
      </c>
      <c r="BN8" s="463">
        <f t="shared" si="2"/>
        <v>0.69139172293415219</v>
      </c>
    </row>
    <row r="9" spans="1:66" s="25" customFormat="1" x14ac:dyDescent="0.25">
      <c r="A9" s="10">
        <v>3</v>
      </c>
      <c r="B9" s="409" t="s">
        <v>10</v>
      </c>
      <c r="C9" s="440">
        <v>1</v>
      </c>
      <c r="D9" s="466">
        <f t="shared" si="3"/>
        <v>5</v>
      </c>
      <c r="E9" s="455"/>
      <c r="F9" s="453"/>
      <c r="G9" s="453">
        <v>1</v>
      </c>
      <c r="H9" s="453"/>
      <c r="I9" s="453">
        <v>1</v>
      </c>
      <c r="J9" s="453">
        <v>1</v>
      </c>
      <c r="K9" s="453"/>
      <c r="L9" s="453">
        <v>1</v>
      </c>
      <c r="M9" s="453">
        <v>1</v>
      </c>
      <c r="N9" s="453"/>
      <c r="O9" s="454"/>
      <c r="P9" s="464"/>
      <c r="Q9" s="444">
        <f t="shared" si="4"/>
        <v>4</v>
      </c>
      <c r="R9" s="452">
        <v>1</v>
      </c>
      <c r="S9" s="453"/>
      <c r="T9" s="453">
        <v>1</v>
      </c>
      <c r="U9" s="453"/>
      <c r="V9" s="453">
        <v>1</v>
      </c>
      <c r="W9" s="453">
        <v>1</v>
      </c>
      <c r="X9" s="453"/>
      <c r="Y9" s="453">
        <v>1</v>
      </c>
      <c r="Z9" s="453"/>
      <c r="AA9" s="453"/>
      <c r="AB9" s="454"/>
      <c r="AC9" s="447">
        <f t="shared" ref="AC9:AC27" si="6">Q9/D9</f>
        <v>0.8</v>
      </c>
      <c r="AD9" s="420">
        <f t="shared" si="5"/>
        <v>11863.646000000001</v>
      </c>
      <c r="AE9" s="413">
        <v>653.33199999999999</v>
      </c>
      <c r="AF9" s="408">
        <v>0</v>
      </c>
      <c r="AG9" s="408">
        <v>687.77599999999995</v>
      </c>
      <c r="AH9" s="408">
        <v>0</v>
      </c>
      <c r="AI9" s="408">
        <v>239.768</v>
      </c>
      <c r="AJ9" s="408">
        <v>293.23399999999998</v>
      </c>
      <c r="AK9" s="408">
        <v>0</v>
      </c>
      <c r="AL9" s="408">
        <v>2623.5360000000001</v>
      </c>
      <c r="AM9" s="408">
        <v>7366</v>
      </c>
      <c r="AN9" s="408">
        <v>0</v>
      </c>
      <c r="AO9" s="416">
        <v>0</v>
      </c>
      <c r="AP9" s="420">
        <f t="shared" si="0"/>
        <v>4167.6453000000001</v>
      </c>
      <c r="AQ9" s="415">
        <f>(Бошняково!D13+Бошняково!D14)/1000</f>
        <v>323.33156000000002</v>
      </c>
      <c r="AR9" s="408"/>
      <c r="AS9" s="408">
        <f>Бошняково!D8/1000</f>
        <v>687.77598</v>
      </c>
      <c r="AT9" s="408">
        <v>0</v>
      </c>
      <c r="AU9" s="408">
        <f>Бошняково!D9/1000</f>
        <v>239.76773999999997</v>
      </c>
      <c r="AV9" s="408">
        <f>Бошняково!D10/1000</f>
        <v>293.23354</v>
      </c>
      <c r="AW9" s="408">
        <v>0</v>
      </c>
      <c r="AX9" s="408">
        <f>Бошняково!D11/1000</f>
        <v>2623.5364799999998</v>
      </c>
      <c r="AY9" s="408">
        <f>Бошняково!D12/1000</f>
        <v>0</v>
      </c>
      <c r="AZ9" s="408">
        <v>0</v>
      </c>
      <c r="BA9" s="416">
        <v>0</v>
      </c>
      <c r="BB9" s="420">
        <f t="shared" si="1"/>
        <v>4167.6452999999992</v>
      </c>
      <c r="BC9" s="415">
        <f>(Бошняково!H13+Бошняково!H14)/1000</f>
        <v>323.33156000000002</v>
      </c>
      <c r="BD9" s="408"/>
      <c r="BE9" s="408">
        <f>Бошняково!H8/1000</f>
        <v>687.77598</v>
      </c>
      <c r="BF9" s="408">
        <v>0</v>
      </c>
      <c r="BG9" s="408">
        <f>Бошняково!H9/1000</f>
        <v>239.76774</v>
      </c>
      <c r="BH9" s="408">
        <f>Бошняково!H10/1000</f>
        <v>293.23354</v>
      </c>
      <c r="BI9" s="408">
        <v>0</v>
      </c>
      <c r="BJ9" s="408">
        <f>Бошняково!H11/1000</f>
        <v>2623.5364799999993</v>
      </c>
      <c r="BK9" s="408">
        <f>Бошняково!H12/1000</f>
        <v>0</v>
      </c>
      <c r="BL9" s="408">
        <v>0</v>
      </c>
      <c r="BM9" s="414">
        <v>0</v>
      </c>
      <c r="BN9" s="463">
        <f t="shared" si="2"/>
        <v>0.35129548707033226</v>
      </c>
    </row>
    <row r="10" spans="1:66" s="25" customFormat="1" x14ac:dyDescent="0.25">
      <c r="A10" s="10">
        <v>4</v>
      </c>
      <c r="B10" s="409" t="s">
        <v>12</v>
      </c>
      <c r="C10" s="440">
        <v>23</v>
      </c>
      <c r="D10" s="466">
        <f t="shared" si="3"/>
        <v>31</v>
      </c>
      <c r="E10" s="455"/>
      <c r="F10" s="453"/>
      <c r="G10" s="453">
        <v>3</v>
      </c>
      <c r="H10" s="453">
        <v>2</v>
      </c>
      <c r="I10" s="453">
        <v>3</v>
      </c>
      <c r="J10" s="453">
        <v>2</v>
      </c>
      <c r="K10" s="453"/>
      <c r="L10" s="453">
        <v>15</v>
      </c>
      <c r="M10" s="453">
        <v>5</v>
      </c>
      <c r="N10" s="453"/>
      <c r="O10" s="454">
        <v>1</v>
      </c>
      <c r="P10" s="464">
        <v>8</v>
      </c>
      <c r="Q10" s="444">
        <f t="shared" si="4"/>
        <v>16</v>
      </c>
      <c r="R10" s="452">
        <v>22</v>
      </c>
      <c r="S10" s="453"/>
      <c r="T10" s="453">
        <v>2</v>
      </c>
      <c r="U10" s="453">
        <v>2</v>
      </c>
      <c r="V10" s="453">
        <v>3</v>
      </c>
      <c r="W10" s="453">
        <v>2</v>
      </c>
      <c r="X10" s="453"/>
      <c r="Y10" s="453">
        <v>7</v>
      </c>
      <c r="Z10" s="453"/>
      <c r="AA10" s="453"/>
      <c r="AB10" s="454"/>
      <c r="AC10" s="447">
        <f t="shared" si="6"/>
        <v>0.5161290322580645</v>
      </c>
      <c r="AD10" s="420">
        <f t="shared" si="5"/>
        <v>190997.62899999999</v>
      </c>
      <c r="AE10" s="413">
        <v>8306.8590000000004</v>
      </c>
      <c r="AF10" s="408">
        <v>0</v>
      </c>
      <c r="AG10" s="408">
        <v>7798.5749999999998</v>
      </c>
      <c r="AH10" s="408">
        <v>17516.048999999999</v>
      </c>
      <c r="AI10" s="408">
        <v>4013.7280000000001</v>
      </c>
      <c r="AJ10" s="408">
        <v>2610.2370000000001</v>
      </c>
      <c r="AK10" s="408">
        <v>0</v>
      </c>
      <c r="AL10" s="408">
        <v>70748.346000000005</v>
      </c>
      <c r="AM10" s="408">
        <v>78636</v>
      </c>
      <c r="AN10" s="408">
        <v>0</v>
      </c>
      <c r="AO10" s="416">
        <v>1367.835</v>
      </c>
      <c r="AP10" s="420">
        <f t="shared" si="0"/>
        <v>61396.587140000003</v>
      </c>
      <c r="AQ10" s="415">
        <f>Долинск!D95/1000</f>
        <v>2714.1398399999998</v>
      </c>
      <c r="AR10" s="408"/>
      <c r="AS10" s="408">
        <f>Долинск!D88/1000</f>
        <v>6153.6221200000009</v>
      </c>
      <c r="AT10" s="408">
        <f>Долинск!D89/1000</f>
        <v>18803.117100000003</v>
      </c>
      <c r="AU10" s="408">
        <f>Долинск!D90/1000</f>
        <v>3902.9719399999994</v>
      </c>
      <c r="AV10" s="408">
        <f>Долинск!D91/1000</f>
        <v>2792.1089200000001</v>
      </c>
      <c r="AW10" s="408">
        <v>0</v>
      </c>
      <c r="AX10" s="408">
        <f>Долинск!D92/1000</f>
        <v>27030.627219999998</v>
      </c>
      <c r="AY10" s="408">
        <f>Долинск!D93/1000</f>
        <v>0</v>
      </c>
      <c r="AZ10" s="408">
        <v>0</v>
      </c>
      <c r="BA10" s="416">
        <f>Долинск!D94/1000</f>
        <v>0</v>
      </c>
      <c r="BB10" s="420">
        <f t="shared" si="1"/>
        <v>55563.806669999998</v>
      </c>
      <c r="BC10" s="415">
        <f>Долинск!H95/1000</f>
        <v>1190.63231</v>
      </c>
      <c r="BD10" s="408"/>
      <c r="BE10" s="408">
        <f>Долинск!H88/1000</f>
        <v>6153.6221299999988</v>
      </c>
      <c r="BF10" s="408">
        <f>Долинск!H89/1000</f>
        <v>18803.117100000003</v>
      </c>
      <c r="BG10" s="408">
        <f>Долинск!H90/1000</f>
        <v>3116.3575700000001</v>
      </c>
      <c r="BH10" s="408">
        <f>Долинск!H91/1000</f>
        <v>2792.1089200000006</v>
      </c>
      <c r="BI10" s="408">
        <v>0</v>
      </c>
      <c r="BJ10" s="408">
        <f>Долинск!H92/1000</f>
        <v>23507.968639999999</v>
      </c>
      <c r="BK10" s="408">
        <f>Долинск!H93/1000</f>
        <v>0</v>
      </c>
      <c r="BL10" s="408">
        <v>0</v>
      </c>
      <c r="BM10" s="414">
        <f>Долинск!H94/1000</f>
        <v>0</v>
      </c>
      <c r="BN10" s="463">
        <f t="shared" si="2"/>
        <v>0.29091359385408916</v>
      </c>
    </row>
    <row r="11" spans="1:66" s="25" customFormat="1" x14ac:dyDescent="0.25">
      <c r="A11" s="10">
        <v>5</v>
      </c>
      <c r="B11" s="409" t="s">
        <v>13</v>
      </c>
      <c r="C11" s="440">
        <v>54</v>
      </c>
      <c r="D11" s="466">
        <f t="shared" si="3"/>
        <v>76</v>
      </c>
      <c r="E11" s="455"/>
      <c r="F11" s="453"/>
      <c r="G11" s="453">
        <v>1</v>
      </c>
      <c r="H11" s="453">
        <v>3</v>
      </c>
      <c r="I11" s="453">
        <v>5</v>
      </c>
      <c r="J11" s="453">
        <v>6</v>
      </c>
      <c r="K11" s="453"/>
      <c r="L11" s="453">
        <v>40</v>
      </c>
      <c r="M11" s="453">
        <v>18</v>
      </c>
      <c r="N11" s="453">
        <v>1</v>
      </c>
      <c r="O11" s="454">
        <v>2</v>
      </c>
      <c r="P11" s="464">
        <v>33</v>
      </c>
      <c r="Q11" s="444">
        <f t="shared" si="4"/>
        <v>55</v>
      </c>
      <c r="R11" s="452">
        <v>47</v>
      </c>
      <c r="S11" s="453"/>
      <c r="T11" s="453">
        <v>1</v>
      </c>
      <c r="U11" s="453">
        <v>3</v>
      </c>
      <c r="V11" s="453">
        <v>5</v>
      </c>
      <c r="W11" s="453">
        <v>6</v>
      </c>
      <c r="X11" s="453"/>
      <c r="Y11" s="453">
        <v>37</v>
      </c>
      <c r="Z11" s="453"/>
      <c r="AA11" s="453">
        <v>1</v>
      </c>
      <c r="AB11" s="454">
        <v>2</v>
      </c>
      <c r="AC11" s="447">
        <f t="shared" si="6"/>
        <v>0.72368421052631582</v>
      </c>
      <c r="AD11" s="420">
        <f t="shared" si="5"/>
        <v>422413.71</v>
      </c>
      <c r="AE11" s="413">
        <v>14190.199000000001</v>
      </c>
      <c r="AF11" s="408">
        <v>0</v>
      </c>
      <c r="AG11" s="408">
        <v>382.24799999999999</v>
      </c>
      <c r="AH11" s="408">
        <v>16329.83</v>
      </c>
      <c r="AI11" s="408">
        <v>3866.3209999999999</v>
      </c>
      <c r="AJ11" s="408">
        <v>7768.6760000000004</v>
      </c>
      <c r="AK11" s="408">
        <v>0</v>
      </c>
      <c r="AL11" s="408">
        <v>200650.27499999999</v>
      </c>
      <c r="AM11" s="408">
        <v>165243</v>
      </c>
      <c r="AN11" s="408">
        <v>7576.9620000000004</v>
      </c>
      <c r="AO11" s="416">
        <v>6406.1989999999996</v>
      </c>
      <c r="AP11" s="420">
        <f t="shared" si="0"/>
        <v>222358.96020999996</v>
      </c>
      <c r="AQ11" s="415">
        <f>Корсаков!D214/1000</f>
        <v>5890.1986900000011</v>
      </c>
      <c r="AR11" s="408">
        <f>Корсаков!D213/1000</f>
        <v>0</v>
      </c>
      <c r="AS11" s="408">
        <f>Корсаков!D205/1000</f>
        <v>382.24799999999999</v>
      </c>
      <c r="AT11" s="408">
        <f>Корсаков!D206/1000</f>
        <v>16018.11609</v>
      </c>
      <c r="AU11" s="408">
        <f>Корсаков!D207/1000</f>
        <v>3866.3184100000003</v>
      </c>
      <c r="AV11" s="408">
        <f>Корсаков!D208/1000</f>
        <v>7646.2592600000007</v>
      </c>
      <c r="AW11" s="408">
        <v>0</v>
      </c>
      <c r="AX11" s="408">
        <f>Корсаков!D209/1000</f>
        <v>180388.01886999997</v>
      </c>
      <c r="AY11" s="408">
        <f>Корсаков!D210/1000</f>
        <v>0</v>
      </c>
      <c r="AZ11" s="408">
        <f>Корсаков!D211/1000</f>
        <v>1761.6019400000002</v>
      </c>
      <c r="BA11" s="416">
        <f>Корсаков!D212/1000</f>
        <v>6406.19895</v>
      </c>
      <c r="BB11" s="420">
        <f t="shared" si="1"/>
        <v>206618.04138999997</v>
      </c>
      <c r="BC11" s="415">
        <f>Корсаков!H214/1000</f>
        <v>5890.1986900000011</v>
      </c>
      <c r="BD11" s="408">
        <f>Корсаков!H213/1000</f>
        <v>0</v>
      </c>
      <c r="BE11" s="408">
        <f>Корсаков!H205/1000</f>
        <v>382.24799999999999</v>
      </c>
      <c r="BF11" s="408">
        <f>Корсаков!H206/1000</f>
        <v>6325.2729600000002</v>
      </c>
      <c r="BG11" s="408">
        <f>Корсаков!H207/1000</f>
        <v>3061.1879100000001</v>
      </c>
      <c r="BH11" s="408">
        <f>Корсаков!H208/1000</f>
        <v>6868.6760100000001</v>
      </c>
      <c r="BI11" s="408">
        <v>0</v>
      </c>
      <c r="BJ11" s="408">
        <f>Корсаков!H209/1000</f>
        <v>177684.25886999996</v>
      </c>
      <c r="BK11" s="408">
        <f>Корсаков!H210/1000</f>
        <v>0</v>
      </c>
      <c r="BL11" s="408">
        <f>Корсаков!H211/1000</f>
        <v>0</v>
      </c>
      <c r="BM11" s="414">
        <f>Корсаков!H212/1000</f>
        <v>6406.1989499999991</v>
      </c>
      <c r="BN11" s="463">
        <f t="shared" si="2"/>
        <v>0.48913668401056387</v>
      </c>
    </row>
    <row r="12" spans="1:66" s="25" customFormat="1" x14ac:dyDescent="0.25">
      <c r="A12" s="10">
        <v>6</v>
      </c>
      <c r="B12" s="409" t="s">
        <v>14</v>
      </c>
      <c r="C12" s="440">
        <v>9</v>
      </c>
      <c r="D12" s="466">
        <f t="shared" si="3"/>
        <v>33</v>
      </c>
      <c r="E12" s="455"/>
      <c r="F12" s="453"/>
      <c r="G12" s="453">
        <v>6</v>
      </c>
      <c r="H12" s="453"/>
      <c r="I12" s="453">
        <v>7</v>
      </c>
      <c r="J12" s="453">
        <v>6</v>
      </c>
      <c r="K12" s="453"/>
      <c r="L12" s="453">
        <v>8</v>
      </c>
      <c r="M12" s="453">
        <v>6</v>
      </c>
      <c r="N12" s="453"/>
      <c r="O12" s="454"/>
      <c r="P12" s="464"/>
      <c r="Q12" s="444">
        <f t="shared" si="4"/>
        <v>0</v>
      </c>
      <c r="R12" s="452">
        <v>9</v>
      </c>
      <c r="S12" s="453"/>
      <c r="T12" s="453"/>
      <c r="U12" s="453"/>
      <c r="V12" s="453"/>
      <c r="W12" s="453"/>
      <c r="X12" s="453"/>
      <c r="Y12" s="453"/>
      <c r="Z12" s="453"/>
      <c r="AA12" s="453"/>
      <c r="AB12" s="454"/>
      <c r="AC12" s="447">
        <f t="shared" si="6"/>
        <v>0</v>
      </c>
      <c r="AD12" s="420">
        <f t="shared" si="5"/>
        <v>71391.657999999996</v>
      </c>
      <c r="AE12" s="413">
        <v>2255.9679999999998</v>
      </c>
      <c r="AF12" s="408">
        <v>505.69</v>
      </c>
      <c r="AG12" s="408">
        <v>4600</v>
      </c>
      <c r="AH12" s="408">
        <v>0</v>
      </c>
      <c r="AI12" s="408">
        <v>2783.087</v>
      </c>
      <c r="AJ12" s="408">
        <v>1622.5509999999999</v>
      </c>
      <c r="AK12" s="408">
        <v>0</v>
      </c>
      <c r="AL12" s="408">
        <v>19224.362000000001</v>
      </c>
      <c r="AM12" s="408">
        <v>40400</v>
      </c>
      <c r="AN12" s="408">
        <v>0</v>
      </c>
      <c r="AO12" s="416">
        <v>0</v>
      </c>
      <c r="AP12" s="420">
        <f t="shared" si="0"/>
        <v>1275.9684199999997</v>
      </c>
      <c r="AQ12" s="415">
        <f>Курильск!D76/1000</f>
        <v>1275.9684199999997</v>
      </c>
      <c r="AR12" s="408">
        <f>Курильск!D75</f>
        <v>0</v>
      </c>
      <c r="AS12" s="408">
        <f>Курильск!D70/1000</f>
        <v>0</v>
      </c>
      <c r="AT12" s="408">
        <v>0</v>
      </c>
      <c r="AU12" s="408">
        <f>Курильск!D71/1000</f>
        <v>0</v>
      </c>
      <c r="AV12" s="408">
        <f>Курильск!C72/1000</f>
        <v>0</v>
      </c>
      <c r="AW12" s="408">
        <v>0</v>
      </c>
      <c r="AX12" s="408">
        <f>Курильск!D73/1000</f>
        <v>0</v>
      </c>
      <c r="AY12" s="408">
        <f>Курильск!D74/1000</f>
        <v>0</v>
      </c>
      <c r="AZ12" s="408">
        <v>0</v>
      </c>
      <c r="BA12" s="416">
        <v>0</v>
      </c>
      <c r="BB12" s="420">
        <f t="shared" si="1"/>
        <v>1275.9684199999997</v>
      </c>
      <c r="BC12" s="415">
        <f>Курильск!H76/1000</f>
        <v>1275.9684199999997</v>
      </c>
      <c r="BD12" s="408">
        <f>Курильск!H75/1000</f>
        <v>0</v>
      </c>
      <c r="BE12" s="408">
        <f>Курильск!H70/1000</f>
        <v>0</v>
      </c>
      <c r="BF12" s="408">
        <v>0</v>
      </c>
      <c r="BG12" s="408">
        <f>Курильск!H71/1000</f>
        <v>0</v>
      </c>
      <c r="BH12" s="408">
        <f>Курильск!H72/1000</f>
        <v>0</v>
      </c>
      <c r="BI12" s="408">
        <v>0</v>
      </c>
      <c r="BJ12" s="408">
        <f>Курильск!H73/1000</f>
        <v>0</v>
      </c>
      <c r="BK12" s="408">
        <f>Курильск!H74/1000</f>
        <v>0</v>
      </c>
      <c r="BL12" s="408">
        <v>0</v>
      </c>
      <c r="BM12" s="414">
        <v>0</v>
      </c>
      <c r="BN12" s="463">
        <f t="shared" si="2"/>
        <v>1.7872794325633951E-2</v>
      </c>
    </row>
    <row r="13" spans="1:66" s="25" customFormat="1" x14ac:dyDescent="0.25">
      <c r="A13" s="10">
        <v>7</v>
      </c>
      <c r="B13" s="409" t="s">
        <v>15</v>
      </c>
      <c r="C13" s="440">
        <v>7</v>
      </c>
      <c r="D13" s="466">
        <f t="shared" si="3"/>
        <v>12</v>
      </c>
      <c r="E13" s="455"/>
      <c r="F13" s="453"/>
      <c r="G13" s="453"/>
      <c r="H13" s="453">
        <v>1</v>
      </c>
      <c r="I13" s="453">
        <v>1</v>
      </c>
      <c r="J13" s="453">
        <v>1</v>
      </c>
      <c r="K13" s="453"/>
      <c r="L13" s="453">
        <v>6</v>
      </c>
      <c r="M13" s="453">
        <v>3</v>
      </c>
      <c r="N13" s="453"/>
      <c r="O13" s="454"/>
      <c r="P13" s="464"/>
      <c r="Q13" s="444">
        <f t="shared" si="4"/>
        <v>0</v>
      </c>
      <c r="R13" s="452">
        <v>6</v>
      </c>
      <c r="S13" s="453"/>
      <c r="T13" s="453"/>
      <c r="U13" s="453"/>
      <c r="V13" s="453"/>
      <c r="W13" s="453"/>
      <c r="X13" s="453"/>
      <c r="Y13" s="453"/>
      <c r="Z13" s="453"/>
      <c r="AA13" s="453"/>
      <c r="AB13" s="454"/>
      <c r="AC13" s="447">
        <f t="shared" si="6"/>
        <v>0</v>
      </c>
      <c r="AD13" s="420">
        <f t="shared" si="5"/>
        <v>100255.32799999999</v>
      </c>
      <c r="AE13" s="413">
        <v>1884.4159999999999</v>
      </c>
      <c r="AF13" s="408">
        <v>0</v>
      </c>
      <c r="AG13" s="408">
        <v>0</v>
      </c>
      <c r="AH13" s="408">
        <v>3800</v>
      </c>
      <c r="AI13" s="408">
        <v>800</v>
      </c>
      <c r="AJ13" s="408">
        <v>750</v>
      </c>
      <c r="AK13" s="408">
        <v>0</v>
      </c>
      <c r="AL13" s="408">
        <v>40264.911999999997</v>
      </c>
      <c r="AM13" s="408">
        <v>52756</v>
      </c>
      <c r="AN13" s="408">
        <v>0</v>
      </c>
      <c r="AO13" s="416">
        <v>0</v>
      </c>
      <c r="AP13" s="420">
        <f t="shared" si="0"/>
        <v>734.41615999999988</v>
      </c>
      <c r="AQ13" s="415">
        <f>Макаров!D36/1000</f>
        <v>734.41615999999988</v>
      </c>
      <c r="AR13" s="408"/>
      <c r="AS13" s="408">
        <v>0</v>
      </c>
      <c r="AT13" s="408">
        <f>Макаров!D31/1000</f>
        <v>0</v>
      </c>
      <c r="AU13" s="408">
        <f>Макаров!D32/1000</f>
        <v>0</v>
      </c>
      <c r="AV13" s="408">
        <f>Макаров!D33/1000</f>
        <v>0</v>
      </c>
      <c r="AW13" s="408">
        <f>0</f>
        <v>0</v>
      </c>
      <c r="AX13" s="408">
        <f>Макаров!D34/1000</f>
        <v>0</v>
      </c>
      <c r="AY13" s="408">
        <f>Макаров!D35/1000</f>
        <v>0</v>
      </c>
      <c r="AZ13" s="408">
        <v>0</v>
      </c>
      <c r="BA13" s="416">
        <v>0</v>
      </c>
      <c r="BB13" s="420">
        <f t="shared" si="1"/>
        <v>734.41615999999988</v>
      </c>
      <c r="BC13" s="415">
        <f>Макаров!H36/1000</f>
        <v>734.41615999999988</v>
      </c>
      <c r="BD13" s="408"/>
      <c r="BE13" s="408">
        <v>0</v>
      </c>
      <c r="BF13" s="408">
        <f>Макаров!H31/1000</f>
        <v>0</v>
      </c>
      <c r="BG13" s="408">
        <f>Макаров!H32/1000</f>
        <v>0</v>
      </c>
      <c r="BH13" s="408">
        <f>Макаров!H33/1000</f>
        <v>0</v>
      </c>
      <c r="BI13" s="408">
        <f>0</f>
        <v>0</v>
      </c>
      <c r="BJ13" s="408">
        <f>Макаров!H34/1000</f>
        <v>0</v>
      </c>
      <c r="BK13" s="408">
        <f>Макаров!H35/1000</f>
        <v>0</v>
      </c>
      <c r="BL13" s="408">
        <v>0</v>
      </c>
      <c r="BM13" s="414">
        <v>0</v>
      </c>
      <c r="BN13" s="463">
        <f t="shared" si="2"/>
        <v>7.325457655477422E-3</v>
      </c>
    </row>
    <row r="14" spans="1:66" s="25" customFormat="1" x14ac:dyDescent="0.25">
      <c r="A14" s="10">
        <v>8</v>
      </c>
      <c r="B14" s="409" t="s">
        <v>16</v>
      </c>
      <c r="C14" s="440">
        <v>18</v>
      </c>
      <c r="D14" s="466">
        <f t="shared" si="3"/>
        <v>20</v>
      </c>
      <c r="E14" s="455"/>
      <c r="F14" s="453"/>
      <c r="G14" s="453"/>
      <c r="H14" s="453">
        <v>3</v>
      </c>
      <c r="I14" s="453"/>
      <c r="J14" s="453"/>
      <c r="K14" s="453"/>
      <c r="L14" s="453">
        <v>9</v>
      </c>
      <c r="M14" s="453">
        <v>7</v>
      </c>
      <c r="N14" s="453">
        <v>1</v>
      </c>
      <c r="O14" s="454"/>
      <c r="P14" s="464">
        <v>11</v>
      </c>
      <c r="Q14" s="444">
        <f t="shared" si="4"/>
        <v>13</v>
      </c>
      <c r="R14" s="452">
        <v>17</v>
      </c>
      <c r="S14" s="453"/>
      <c r="T14" s="453"/>
      <c r="U14" s="453">
        <v>3</v>
      </c>
      <c r="V14" s="453"/>
      <c r="W14" s="453"/>
      <c r="X14" s="453"/>
      <c r="Y14" s="453">
        <v>9</v>
      </c>
      <c r="Z14" s="453">
        <v>1</v>
      </c>
      <c r="AA14" s="453"/>
      <c r="AB14" s="454"/>
      <c r="AC14" s="447">
        <f t="shared" si="6"/>
        <v>0.65</v>
      </c>
      <c r="AD14" s="420">
        <f t="shared" si="5"/>
        <v>189088.68</v>
      </c>
      <c r="AE14" s="413">
        <v>4836.8909999999996</v>
      </c>
      <c r="AF14" s="408">
        <v>0</v>
      </c>
      <c r="AG14" s="408">
        <v>0</v>
      </c>
      <c r="AH14" s="408">
        <v>21984.201000000001</v>
      </c>
      <c r="AI14" s="408">
        <v>0</v>
      </c>
      <c r="AJ14" s="408">
        <v>0</v>
      </c>
      <c r="AK14" s="408">
        <v>0</v>
      </c>
      <c r="AL14" s="408">
        <v>44202.588000000003</v>
      </c>
      <c r="AM14" s="408">
        <v>111340</v>
      </c>
      <c r="AN14" s="408">
        <v>6725</v>
      </c>
      <c r="AO14" s="416">
        <v>0</v>
      </c>
      <c r="AP14" s="420">
        <f t="shared" si="0"/>
        <v>68596.064720000009</v>
      </c>
      <c r="AQ14" s="415">
        <f>Невельск!D69/1000</f>
        <v>1866.8912600000001</v>
      </c>
      <c r="AR14" s="408"/>
      <c r="AS14" s="408">
        <v>0</v>
      </c>
      <c r="AT14" s="408">
        <f>Невельск!D66/1000</f>
        <v>21984.201229999995</v>
      </c>
      <c r="AU14" s="408">
        <v>0</v>
      </c>
      <c r="AV14" s="408">
        <v>0</v>
      </c>
      <c r="AW14" s="408">
        <v>0</v>
      </c>
      <c r="AX14" s="408">
        <f>Невельск!D67/1000</f>
        <v>44202.58797</v>
      </c>
      <c r="AY14" s="408">
        <f>Невельск!D68/1000</f>
        <v>542.38426000000004</v>
      </c>
      <c r="AZ14" s="408">
        <v>0</v>
      </c>
      <c r="BA14" s="416">
        <v>0</v>
      </c>
      <c r="BB14" s="420">
        <f t="shared" si="1"/>
        <v>68053.680460000003</v>
      </c>
      <c r="BC14" s="415">
        <f>Невельск!H69/1000</f>
        <v>1866.8912600000001</v>
      </c>
      <c r="BD14" s="408"/>
      <c r="BE14" s="408">
        <v>0</v>
      </c>
      <c r="BF14" s="408">
        <f>Невельск!H66/1000</f>
        <v>21984.201229999995</v>
      </c>
      <c r="BG14" s="408">
        <v>0</v>
      </c>
      <c r="BH14" s="408">
        <v>0</v>
      </c>
      <c r="BI14" s="408">
        <v>0</v>
      </c>
      <c r="BJ14" s="408">
        <f>Невельск!H67/1000</f>
        <v>44202.58797</v>
      </c>
      <c r="BK14" s="408">
        <f>Невельск!H68/1000</f>
        <v>0</v>
      </c>
      <c r="BL14" s="408">
        <v>0</v>
      </c>
      <c r="BM14" s="414">
        <v>0</v>
      </c>
      <c r="BN14" s="463">
        <f t="shared" si="2"/>
        <v>0.35990351437219831</v>
      </c>
    </row>
    <row r="15" spans="1:66" s="25" customFormat="1" x14ac:dyDescent="0.25">
      <c r="A15" s="10">
        <v>9</v>
      </c>
      <c r="B15" s="409" t="s">
        <v>17</v>
      </c>
      <c r="C15" s="440">
        <v>7</v>
      </c>
      <c r="D15" s="466">
        <f t="shared" si="3"/>
        <v>7</v>
      </c>
      <c r="E15" s="455"/>
      <c r="F15" s="453"/>
      <c r="G15" s="453"/>
      <c r="H15" s="453">
        <v>3</v>
      </c>
      <c r="I15" s="453">
        <v>1</v>
      </c>
      <c r="J15" s="453"/>
      <c r="K15" s="453"/>
      <c r="L15" s="453">
        <v>1</v>
      </c>
      <c r="M15" s="453">
        <v>2</v>
      </c>
      <c r="N15" s="453"/>
      <c r="O15" s="454"/>
      <c r="P15" s="464">
        <v>1</v>
      </c>
      <c r="Q15" s="444">
        <f t="shared" si="4"/>
        <v>1</v>
      </c>
      <c r="R15" s="452">
        <v>2</v>
      </c>
      <c r="S15" s="453"/>
      <c r="T15" s="453"/>
      <c r="U15" s="453"/>
      <c r="V15" s="453"/>
      <c r="W15" s="453"/>
      <c r="X15" s="453"/>
      <c r="Y15" s="453">
        <v>1</v>
      </c>
      <c r="Z15" s="453"/>
      <c r="AA15" s="453"/>
      <c r="AB15" s="454"/>
      <c r="AC15" s="447">
        <f t="shared" si="6"/>
        <v>0.14285714285714285</v>
      </c>
      <c r="AD15" s="420">
        <f t="shared" si="5"/>
        <v>41098.025999999998</v>
      </c>
      <c r="AE15" s="413">
        <v>932.625</v>
      </c>
      <c r="AF15" s="408">
        <v>0</v>
      </c>
      <c r="AG15" s="408">
        <v>0</v>
      </c>
      <c r="AH15" s="408">
        <v>7415.74</v>
      </c>
      <c r="AI15" s="408">
        <v>2158.3319999999999</v>
      </c>
      <c r="AJ15" s="408">
        <v>0</v>
      </c>
      <c r="AK15" s="408">
        <v>0</v>
      </c>
      <c r="AL15" s="408">
        <v>3591.3290000000002</v>
      </c>
      <c r="AM15" s="408">
        <v>27000</v>
      </c>
      <c r="AN15" s="408">
        <v>0</v>
      </c>
      <c r="AO15" s="416">
        <v>0</v>
      </c>
      <c r="AP15" s="420">
        <f t="shared" si="0"/>
        <v>3798.3939200000004</v>
      </c>
      <c r="AQ15" s="415">
        <f>Ноглики!D32/1000</f>
        <v>207.06469000000001</v>
      </c>
      <c r="AR15" s="408"/>
      <c r="AS15" s="408">
        <v>0</v>
      </c>
      <c r="AT15" s="408">
        <f>Ноглики!D28/1000</f>
        <v>0</v>
      </c>
      <c r="AU15" s="408">
        <f>Ноглики!D29/1000</f>
        <v>0</v>
      </c>
      <c r="AV15" s="408">
        <v>0</v>
      </c>
      <c r="AW15" s="408">
        <v>0</v>
      </c>
      <c r="AX15" s="408">
        <f>Ноглики!D30/1000</f>
        <v>3591.3292300000003</v>
      </c>
      <c r="AY15" s="408">
        <f>Ноглики!D31/1000</f>
        <v>0</v>
      </c>
      <c r="AZ15" s="408">
        <v>0</v>
      </c>
      <c r="BA15" s="416">
        <v>0</v>
      </c>
      <c r="BB15" s="420">
        <f t="shared" si="1"/>
        <v>3798.3939199999995</v>
      </c>
      <c r="BC15" s="415">
        <f>Ноглики!H32/1000</f>
        <v>207.06469000000001</v>
      </c>
      <c r="BD15" s="408"/>
      <c r="BE15" s="408">
        <v>0</v>
      </c>
      <c r="BF15" s="408">
        <f>Ноглики!H28/1000</f>
        <v>0</v>
      </c>
      <c r="BG15" s="408">
        <f>Ноглики!H29/1000</f>
        <v>0</v>
      </c>
      <c r="BH15" s="408">
        <v>0</v>
      </c>
      <c r="BI15" s="408">
        <v>0</v>
      </c>
      <c r="BJ15" s="408">
        <f>Ноглики!H30/1000</f>
        <v>3591.3292299999994</v>
      </c>
      <c r="BK15" s="408">
        <f>Ноглики!H31/1000</f>
        <v>0</v>
      </c>
      <c r="BL15" s="408">
        <v>0</v>
      </c>
      <c r="BM15" s="414">
        <v>0</v>
      </c>
      <c r="BN15" s="463">
        <f t="shared" si="2"/>
        <v>9.2422782544348964E-2</v>
      </c>
    </row>
    <row r="16" spans="1:66" s="405" customFormat="1" x14ac:dyDescent="0.25">
      <c r="A16" s="404">
        <v>10</v>
      </c>
      <c r="B16" s="410" t="s">
        <v>18</v>
      </c>
      <c r="C16" s="441">
        <v>35</v>
      </c>
      <c r="D16" s="466">
        <f t="shared" si="3"/>
        <v>116</v>
      </c>
      <c r="E16" s="455"/>
      <c r="F16" s="453"/>
      <c r="G16" s="453">
        <v>17</v>
      </c>
      <c r="H16" s="453">
        <v>17</v>
      </c>
      <c r="I16" s="453">
        <v>17</v>
      </c>
      <c r="J16" s="453">
        <v>17</v>
      </c>
      <c r="K16" s="453">
        <v>17</v>
      </c>
      <c r="L16" s="453">
        <v>26</v>
      </c>
      <c r="M16" s="453">
        <v>5</v>
      </c>
      <c r="N16" s="453"/>
      <c r="O16" s="454"/>
      <c r="P16" s="464">
        <v>21</v>
      </c>
      <c r="Q16" s="444">
        <f t="shared" si="4"/>
        <v>103</v>
      </c>
      <c r="R16" s="452">
        <v>28</v>
      </c>
      <c r="S16" s="453">
        <v>19</v>
      </c>
      <c r="T16" s="453">
        <v>17</v>
      </c>
      <c r="U16" s="453">
        <v>17</v>
      </c>
      <c r="V16" s="453">
        <v>17</v>
      </c>
      <c r="W16" s="453">
        <v>17</v>
      </c>
      <c r="X16" s="453">
        <v>17</v>
      </c>
      <c r="Y16" s="453">
        <v>15</v>
      </c>
      <c r="Z16" s="453">
        <v>3</v>
      </c>
      <c r="AA16" s="453"/>
      <c r="AB16" s="454"/>
      <c r="AC16" s="447">
        <f t="shared" si="6"/>
        <v>0.88793103448275867</v>
      </c>
      <c r="AD16" s="420">
        <f t="shared" si="5"/>
        <v>284807.22200000001</v>
      </c>
      <c r="AE16" s="413">
        <v>9398.9529999999995</v>
      </c>
      <c r="AF16" s="408">
        <v>1243.5050000000001</v>
      </c>
      <c r="AG16" s="408">
        <v>9876.384</v>
      </c>
      <c r="AH16" s="408">
        <v>64038.245999999999</v>
      </c>
      <c r="AI16" s="408">
        <v>6376.6989999999996</v>
      </c>
      <c r="AJ16" s="408">
        <v>5354.5450000000001</v>
      </c>
      <c r="AK16" s="408">
        <v>14437.494000000001</v>
      </c>
      <c r="AL16" s="408">
        <v>141405.571</v>
      </c>
      <c r="AM16" s="408">
        <v>32675.825000000001</v>
      </c>
      <c r="AN16" s="408">
        <v>0</v>
      </c>
      <c r="AO16" s="416">
        <v>0</v>
      </c>
      <c r="AP16" s="420">
        <f t="shared" si="0"/>
        <v>194954.38200999997</v>
      </c>
      <c r="AQ16" s="415">
        <f>Оха!D221/1000</f>
        <v>2818.9531299999999</v>
      </c>
      <c r="AR16" s="408">
        <f>Оха!D220/1000</f>
        <v>1243.5050700000002</v>
      </c>
      <c r="AS16" s="408">
        <f>Оха!D213/1000</f>
        <v>9876.3841599999978</v>
      </c>
      <c r="AT16" s="408">
        <f>Оха!D214/1000</f>
        <v>63288.901079999996</v>
      </c>
      <c r="AU16" s="408">
        <f>Оха!D215/1000</f>
        <v>6376.6992399999999</v>
      </c>
      <c r="AV16" s="408">
        <f>Оха!D216/1000</f>
        <v>5354.545259999999</v>
      </c>
      <c r="AW16" s="408">
        <f>Оха!D217/1000</f>
        <v>14437.493519999998</v>
      </c>
      <c r="AX16" s="408">
        <f>Оха!D218/1000</f>
        <v>77332.075349999999</v>
      </c>
      <c r="AY16" s="408">
        <f>Оха!D219/1000</f>
        <v>14225.825199999999</v>
      </c>
      <c r="AZ16" s="408">
        <v>0</v>
      </c>
      <c r="BA16" s="416">
        <v>0</v>
      </c>
      <c r="BB16" s="420">
        <f t="shared" si="1"/>
        <v>147383.28677999999</v>
      </c>
      <c r="BC16" s="415">
        <f>Оха!H221/1000</f>
        <v>2818.9531299999994</v>
      </c>
      <c r="BD16" s="408">
        <f>Оха!H220/1000</f>
        <v>1243.5050700000002</v>
      </c>
      <c r="BE16" s="408">
        <f>Оха!H213/1000</f>
        <v>6979.6885900000007</v>
      </c>
      <c r="BF16" s="408">
        <f>Оха!H214/1000</f>
        <v>42605.993119999999</v>
      </c>
      <c r="BG16" s="408">
        <f>Оха!H215/1000</f>
        <v>6376.6992399999999</v>
      </c>
      <c r="BH16" s="408">
        <f>Оха!H216/1000</f>
        <v>5354.5452599999981</v>
      </c>
      <c r="BI16" s="408">
        <f>Оха!H217/1000</f>
        <v>14437.493519999998</v>
      </c>
      <c r="BJ16" s="408">
        <f>Оха!H218/1000</f>
        <v>53340.58365</v>
      </c>
      <c r="BK16" s="408">
        <f>Оха!H219/1000</f>
        <v>14225.825199999999</v>
      </c>
      <c r="BL16" s="408">
        <v>0</v>
      </c>
      <c r="BM16" s="414">
        <v>0</v>
      </c>
      <c r="BN16" s="463">
        <f t="shared" si="2"/>
        <v>0.51748437327196706</v>
      </c>
    </row>
    <row r="17" spans="1:66" x14ac:dyDescent="0.25">
      <c r="A17" s="10">
        <v>11</v>
      </c>
      <c r="B17" s="411" t="s">
        <v>19</v>
      </c>
      <c r="C17" s="440">
        <v>16</v>
      </c>
      <c r="D17" s="466">
        <f t="shared" si="3"/>
        <v>54</v>
      </c>
      <c r="E17" s="455"/>
      <c r="F17" s="453"/>
      <c r="G17" s="453">
        <v>8</v>
      </c>
      <c r="H17" s="453">
        <v>8</v>
      </c>
      <c r="I17" s="453">
        <v>8</v>
      </c>
      <c r="J17" s="453">
        <v>10</v>
      </c>
      <c r="K17" s="453"/>
      <c r="L17" s="453">
        <v>8</v>
      </c>
      <c r="M17" s="453">
        <v>8</v>
      </c>
      <c r="N17" s="453">
        <v>4</v>
      </c>
      <c r="O17" s="454"/>
      <c r="P17" s="464">
        <v>6</v>
      </c>
      <c r="Q17" s="444">
        <f t="shared" si="4"/>
        <v>23</v>
      </c>
      <c r="R17" s="452">
        <v>14</v>
      </c>
      <c r="S17" s="453"/>
      <c r="T17" s="453">
        <v>4</v>
      </c>
      <c r="U17" s="453">
        <v>4</v>
      </c>
      <c r="V17" s="453">
        <v>3</v>
      </c>
      <c r="W17" s="453">
        <v>5</v>
      </c>
      <c r="X17" s="453"/>
      <c r="Y17" s="453">
        <v>6</v>
      </c>
      <c r="Z17" s="453">
        <v>1</v>
      </c>
      <c r="AA17" s="453"/>
      <c r="AB17" s="454"/>
      <c r="AC17" s="447">
        <f t="shared" si="6"/>
        <v>0.42592592592592593</v>
      </c>
      <c r="AD17" s="420">
        <f t="shared" si="5"/>
        <v>237681.32199999999</v>
      </c>
      <c r="AE17" s="413">
        <v>7726.5110000000004</v>
      </c>
      <c r="AF17" s="408">
        <v>0</v>
      </c>
      <c r="AG17" s="408">
        <v>10878.88</v>
      </c>
      <c r="AH17" s="408">
        <v>54262.286</v>
      </c>
      <c r="AI17" s="408">
        <v>8294.5930000000008</v>
      </c>
      <c r="AJ17" s="408">
        <v>5225.3860000000004</v>
      </c>
      <c r="AK17" s="408">
        <v>0</v>
      </c>
      <c r="AL17" s="408">
        <v>42401.18</v>
      </c>
      <c r="AM17" s="408">
        <v>90260.989000000001</v>
      </c>
      <c r="AN17" s="408">
        <v>18631.496999999999</v>
      </c>
      <c r="AO17" s="416">
        <v>0</v>
      </c>
      <c r="AP17" s="420">
        <f t="shared" si="0"/>
        <v>78894.6510652</v>
      </c>
      <c r="AQ17" s="415">
        <f>Поронайск!D107/1000</f>
        <v>3132.0948051999999</v>
      </c>
      <c r="AR17" s="408"/>
      <c r="AS17" s="408">
        <f>Поронайск!D100/1000</f>
        <v>5232.2976699999999</v>
      </c>
      <c r="AT17" s="408">
        <f>Поронайск!D101/1000</f>
        <v>19581.820629999998</v>
      </c>
      <c r="AU17" s="408">
        <f>Поронайск!D102/1000</f>
        <v>3786.4125600000002</v>
      </c>
      <c r="AV17" s="408">
        <f>Поронайск!D103/1000</f>
        <v>2255.8672199999996</v>
      </c>
      <c r="AW17" s="408">
        <v>0</v>
      </c>
      <c r="AX17" s="408">
        <f>Поронайск!D104/1000</f>
        <v>32943.169500000004</v>
      </c>
      <c r="AY17" s="408">
        <f>Поронайск!D105/1000</f>
        <v>11962.98868</v>
      </c>
      <c r="AZ17" s="408">
        <f>Поронайск!D106/1000</f>
        <v>0</v>
      </c>
      <c r="BA17" s="416">
        <v>0</v>
      </c>
      <c r="BB17" s="420">
        <f t="shared" si="1"/>
        <v>68829.427039999995</v>
      </c>
      <c r="BC17" s="415">
        <f>Поронайск!H107/1000</f>
        <v>2539.9433899999999</v>
      </c>
      <c r="BD17" s="408"/>
      <c r="BE17" s="408">
        <f>Поронайск!H100/1000</f>
        <v>3776.9876099999997</v>
      </c>
      <c r="BF17" s="408">
        <f>Поронайск!H101/1000</f>
        <v>16678.096979999998</v>
      </c>
      <c r="BG17" s="408">
        <f>Поронайск!H102/1000</f>
        <v>3080.1271299999999</v>
      </c>
      <c r="BH17" s="408">
        <f>Поронайск!H103/1000</f>
        <v>1727.99371</v>
      </c>
      <c r="BI17" s="408">
        <v>0</v>
      </c>
      <c r="BJ17" s="408">
        <f>Поронайск!H104/1000</f>
        <v>29063.289540000002</v>
      </c>
      <c r="BK17" s="408">
        <f>Поронайск!H105/1000</f>
        <v>11962.98868</v>
      </c>
      <c r="BL17" s="408">
        <f>Поронайск!H106/1000</f>
        <v>0</v>
      </c>
      <c r="BM17" s="414">
        <v>0</v>
      </c>
      <c r="BN17" s="463">
        <f t="shared" si="2"/>
        <v>0.2895870254373627</v>
      </c>
    </row>
    <row r="18" spans="1:66" x14ac:dyDescent="0.25">
      <c r="A18" s="10">
        <v>12</v>
      </c>
      <c r="B18" s="411" t="s">
        <v>20</v>
      </c>
      <c r="C18" s="440">
        <v>15</v>
      </c>
      <c r="D18" s="466">
        <f t="shared" si="3"/>
        <v>19</v>
      </c>
      <c r="E18" s="455"/>
      <c r="F18" s="453"/>
      <c r="G18" s="453">
        <v>2</v>
      </c>
      <c r="H18" s="453">
        <v>6</v>
      </c>
      <c r="I18" s="453">
        <v>8</v>
      </c>
      <c r="J18" s="453"/>
      <c r="K18" s="453"/>
      <c r="L18" s="453">
        <v>3</v>
      </c>
      <c r="M18" s="453"/>
      <c r="N18" s="453"/>
      <c r="O18" s="454"/>
      <c r="P18" s="464"/>
      <c r="Q18" s="444">
        <f t="shared" si="4"/>
        <v>0</v>
      </c>
      <c r="R18" s="452">
        <v>15</v>
      </c>
      <c r="S18" s="453"/>
      <c r="T18" s="453"/>
      <c r="U18" s="453"/>
      <c r="V18" s="453"/>
      <c r="W18" s="453"/>
      <c r="X18" s="453"/>
      <c r="Y18" s="453"/>
      <c r="Z18" s="453"/>
      <c r="AA18" s="453"/>
      <c r="AB18" s="454"/>
      <c r="AC18" s="447">
        <f t="shared" si="6"/>
        <v>0</v>
      </c>
      <c r="AD18" s="420">
        <f t="shared" si="5"/>
        <v>44693.428</v>
      </c>
      <c r="AE18" s="413">
        <v>2329.7809999999999</v>
      </c>
      <c r="AF18" s="408">
        <v>700</v>
      </c>
      <c r="AG18" s="408">
        <v>1477.7329999999999</v>
      </c>
      <c r="AH18" s="408">
        <v>21838.328000000001</v>
      </c>
      <c r="AI18" s="408">
        <v>8407.9429999999993</v>
      </c>
      <c r="AJ18" s="408">
        <v>0</v>
      </c>
      <c r="AK18" s="408">
        <v>0</v>
      </c>
      <c r="AL18" s="408">
        <v>9939.643</v>
      </c>
      <c r="AM18" s="408">
        <v>0</v>
      </c>
      <c r="AN18" s="408">
        <v>0</v>
      </c>
      <c r="AO18" s="416">
        <v>0</v>
      </c>
      <c r="AP18" s="420">
        <f t="shared" si="0"/>
        <v>3089.7809399999996</v>
      </c>
      <c r="AQ18" s="415">
        <f>'Северо-Курильск'!D67/1000</f>
        <v>1089.7809399999999</v>
      </c>
      <c r="AR18" s="408">
        <f>'Северо-Курильск'!D66/1000</f>
        <v>0</v>
      </c>
      <c r="AS18" s="408">
        <f>'Северо-Курильск'!D62/1000</f>
        <v>0</v>
      </c>
      <c r="AT18" s="408">
        <f>'Северо-Курильск'!D63/1000</f>
        <v>2000</v>
      </c>
      <c r="AU18" s="408">
        <f>'Северо-Курильск'!D64/1000</f>
        <v>0</v>
      </c>
      <c r="AV18" s="408">
        <v>0</v>
      </c>
      <c r="AW18" s="408"/>
      <c r="AX18" s="408">
        <f>'Северо-Курильск'!D65/1000</f>
        <v>0</v>
      </c>
      <c r="AY18" s="408">
        <v>0</v>
      </c>
      <c r="AZ18" s="408">
        <v>0</v>
      </c>
      <c r="BA18" s="416">
        <v>0</v>
      </c>
      <c r="BB18" s="420">
        <f t="shared" si="1"/>
        <v>3089.7809399999996</v>
      </c>
      <c r="BC18" s="415">
        <f>'Северо-Курильск'!H67/1000</f>
        <v>1089.7809399999999</v>
      </c>
      <c r="BD18" s="408">
        <f>'Северо-Курильск'!H66/1000</f>
        <v>0</v>
      </c>
      <c r="BE18" s="408">
        <f>'Северо-Курильск'!H62/1000</f>
        <v>0</v>
      </c>
      <c r="BF18" s="408">
        <f>'Северо-Курильск'!H63/1000</f>
        <v>2000</v>
      </c>
      <c r="BG18" s="408">
        <f>'Северо-Курильск'!H64/1000</f>
        <v>0</v>
      </c>
      <c r="BH18" s="408">
        <v>0</v>
      </c>
      <c r="BI18" s="408"/>
      <c r="BJ18" s="408">
        <f>'Северо-Курильск'!H65/1000</f>
        <v>0</v>
      </c>
      <c r="BK18" s="408">
        <v>0</v>
      </c>
      <c r="BL18" s="408">
        <v>0</v>
      </c>
      <c r="BM18" s="414">
        <v>0</v>
      </c>
      <c r="BN18" s="463">
        <f t="shared" si="2"/>
        <v>6.9132780327344767E-2</v>
      </c>
    </row>
    <row r="19" spans="1:66" s="266" customFormat="1" x14ac:dyDescent="0.25">
      <c r="A19" s="404">
        <v>13</v>
      </c>
      <c r="B19" s="412" t="s">
        <v>21</v>
      </c>
      <c r="C19" s="441">
        <v>34</v>
      </c>
      <c r="D19" s="466">
        <f t="shared" si="3"/>
        <v>34</v>
      </c>
      <c r="E19" s="455"/>
      <c r="F19" s="453"/>
      <c r="G19" s="453"/>
      <c r="H19" s="453"/>
      <c r="I19" s="453"/>
      <c r="J19" s="453"/>
      <c r="K19" s="453"/>
      <c r="L19" s="453">
        <v>34</v>
      </c>
      <c r="M19" s="453"/>
      <c r="N19" s="453"/>
      <c r="O19" s="454"/>
      <c r="P19" s="464">
        <v>18</v>
      </c>
      <c r="Q19" s="444">
        <v>18</v>
      </c>
      <c r="R19" s="452">
        <v>22</v>
      </c>
      <c r="S19" s="453"/>
      <c r="T19" s="453"/>
      <c r="U19" s="453"/>
      <c r="V19" s="453"/>
      <c r="W19" s="453"/>
      <c r="X19" s="453"/>
      <c r="Y19" s="453">
        <v>18</v>
      </c>
      <c r="Z19" s="453"/>
      <c r="AA19" s="453"/>
      <c r="AB19" s="454"/>
      <c r="AC19" s="447">
        <f t="shared" si="6"/>
        <v>0.52941176470588236</v>
      </c>
      <c r="AD19" s="420">
        <f t="shared" si="5"/>
        <v>168439.78700000001</v>
      </c>
      <c r="AE19" s="413">
        <v>4792.4859999999999</v>
      </c>
      <c r="AF19" s="408">
        <v>0</v>
      </c>
      <c r="AG19" s="408">
        <v>0</v>
      </c>
      <c r="AH19" s="408">
        <v>0</v>
      </c>
      <c r="AI19" s="408">
        <v>0</v>
      </c>
      <c r="AJ19" s="408">
        <v>0</v>
      </c>
      <c r="AK19" s="408">
        <v>0</v>
      </c>
      <c r="AL19" s="408">
        <v>163647.30100000001</v>
      </c>
      <c r="AM19" s="408">
        <v>0</v>
      </c>
      <c r="AN19" s="408">
        <v>0</v>
      </c>
      <c r="AO19" s="416">
        <v>0</v>
      </c>
      <c r="AP19" s="420">
        <f t="shared" si="0"/>
        <v>93444.304180000006</v>
      </c>
      <c r="AQ19" s="415">
        <f>Смирных!D101/1000</f>
        <v>1622.4856700000003</v>
      </c>
      <c r="AR19" s="408"/>
      <c r="AS19" s="408">
        <v>0</v>
      </c>
      <c r="AT19" s="408">
        <v>0</v>
      </c>
      <c r="AU19" s="408">
        <v>0</v>
      </c>
      <c r="AV19" s="408">
        <v>0</v>
      </c>
      <c r="AW19" s="408">
        <v>0</v>
      </c>
      <c r="AX19" s="408">
        <f>Смирных!D100/1000</f>
        <v>91821.818510000012</v>
      </c>
      <c r="AY19" s="408">
        <v>0</v>
      </c>
      <c r="AZ19" s="408">
        <v>0</v>
      </c>
      <c r="BA19" s="416">
        <v>0</v>
      </c>
      <c r="BB19" s="420">
        <f t="shared" si="1"/>
        <v>93444.304180000006</v>
      </c>
      <c r="BC19" s="415">
        <f>Смирных!H101/1000</f>
        <v>1622.4856700000003</v>
      </c>
      <c r="BD19" s="408"/>
      <c r="BE19" s="408">
        <v>0</v>
      </c>
      <c r="BF19" s="408">
        <v>0</v>
      </c>
      <c r="BG19" s="408">
        <v>0</v>
      </c>
      <c r="BH19" s="408">
        <v>0</v>
      </c>
      <c r="BI19" s="408">
        <v>0</v>
      </c>
      <c r="BJ19" s="408">
        <f>Смирных!H100/1000</f>
        <v>91821.818510000012</v>
      </c>
      <c r="BK19" s="408">
        <v>0</v>
      </c>
      <c r="BL19" s="408">
        <v>0</v>
      </c>
      <c r="BM19" s="414">
        <v>0</v>
      </c>
      <c r="BN19" s="463">
        <f t="shared" si="2"/>
        <v>0.55476384673889434</v>
      </c>
    </row>
    <row r="20" spans="1:66" x14ac:dyDescent="0.25">
      <c r="A20" s="10">
        <v>14</v>
      </c>
      <c r="B20" s="411" t="s">
        <v>22</v>
      </c>
      <c r="C20" s="440">
        <v>27</v>
      </c>
      <c r="D20" s="466">
        <f t="shared" si="3"/>
        <v>28</v>
      </c>
      <c r="E20" s="455"/>
      <c r="F20" s="453"/>
      <c r="G20" s="453"/>
      <c r="H20" s="453">
        <v>3</v>
      </c>
      <c r="I20" s="453"/>
      <c r="J20" s="453">
        <v>1</v>
      </c>
      <c r="K20" s="453"/>
      <c r="L20" s="453">
        <v>5</v>
      </c>
      <c r="M20" s="453">
        <v>18</v>
      </c>
      <c r="N20" s="453"/>
      <c r="O20" s="454">
        <v>1</v>
      </c>
      <c r="P20" s="464">
        <v>7</v>
      </c>
      <c r="Q20" s="444">
        <f t="shared" si="4"/>
        <v>8</v>
      </c>
      <c r="R20" s="452">
        <v>21</v>
      </c>
      <c r="S20" s="453"/>
      <c r="T20" s="453"/>
      <c r="U20" s="453">
        <v>3</v>
      </c>
      <c r="V20" s="453"/>
      <c r="W20" s="453"/>
      <c r="X20" s="453"/>
      <c r="Y20" s="453">
        <v>4</v>
      </c>
      <c r="Z20" s="453">
        <v>1</v>
      </c>
      <c r="AA20" s="453"/>
      <c r="AB20" s="454"/>
      <c r="AC20" s="447">
        <f t="shared" si="6"/>
        <v>0.2857142857142857</v>
      </c>
      <c r="AD20" s="420">
        <f t="shared" si="5"/>
        <v>246567.62299999999</v>
      </c>
      <c r="AE20" s="413">
        <v>5030.6180000000004</v>
      </c>
      <c r="AF20" s="408">
        <v>849.38900000000001</v>
      </c>
      <c r="AG20" s="408">
        <v>0</v>
      </c>
      <c r="AH20" s="408">
        <v>6510.1369999999997</v>
      </c>
      <c r="AI20" s="408">
        <v>0</v>
      </c>
      <c r="AJ20" s="408">
        <v>171.375</v>
      </c>
      <c r="AK20" s="408">
        <v>0</v>
      </c>
      <c r="AL20" s="408">
        <v>15331.281000000001</v>
      </c>
      <c r="AM20" s="408">
        <v>215615</v>
      </c>
      <c r="AN20" s="408">
        <v>0</v>
      </c>
      <c r="AO20" s="416">
        <v>3059.8229999999999</v>
      </c>
      <c r="AP20" s="420">
        <f t="shared" si="0"/>
        <v>28179.57834</v>
      </c>
      <c r="AQ20" s="415">
        <f>Томари!D92/1000</f>
        <v>1770.6180400000001</v>
      </c>
      <c r="AR20" s="408"/>
      <c r="AS20" s="408">
        <v>0</v>
      </c>
      <c r="AT20" s="408">
        <f>Томари!D87/1000</f>
        <v>6510.1365800000003</v>
      </c>
      <c r="AU20" s="408">
        <v>0</v>
      </c>
      <c r="AV20" s="408">
        <f>Томари!D88/1000</f>
        <v>0</v>
      </c>
      <c r="AW20" s="408">
        <v>0</v>
      </c>
      <c r="AX20" s="408">
        <f>Томари!D89/1000</f>
        <v>10900.223960000001</v>
      </c>
      <c r="AY20" s="408">
        <f>Томари!D90/1000</f>
        <v>8998.5997599999992</v>
      </c>
      <c r="AZ20" s="408">
        <v>0</v>
      </c>
      <c r="BA20" s="416">
        <f>Томари!D91/1000</f>
        <v>0</v>
      </c>
      <c r="BB20" s="420">
        <f t="shared" si="1"/>
        <v>28179.57834</v>
      </c>
      <c r="BC20" s="415">
        <f>Томари!H92/1000</f>
        <v>1770.6180400000003</v>
      </c>
      <c r="BD20" s="408"/>
      <c r="BE20" s="408">
        <v>0</v>
      </c>
      <c r="BF20" s="408">
        <f>Томари!H87/1000</f>
        <v>6510.1365800000003</v>
      </c>
      <c r="BG20" s="408">
        <v>0</v>
      </c>
      <c r="BH20" s="408">
        <f>Томари!H88/1000</f>
        <v>0</v>
      </c>
      <c r="BI20" s="408">
        <v>0</v>
      </c>
      <c r="BJ20" s="408">
        <f>Томари!H89/1000</f>
        <v>10900.223960000001</v>
      </c>
      <c r="BK20" s="408">
        <f>Томари!H90/1000</f>
        <v>8998.5997599999992</v>
      </c>
      <c r="BL20" s="408">
        <v>0</v>
      </c>
      <c r="BM20" s="414">
        <f>Томари!H91/1000</f>
        <v>0</v>
      </c>
      <c r="BN20" s="463">
        <f t="shared" si="2"/>
        <v>0.11428742345461959</v>
      </c>
    </row>
    <row r="21" spans="1:66" x14ac:dyDescent="0.25">
      <c r="A21" s="10">
        <v>15</v>
      </c>
      <c r="B21" s="411" t="s">
        <v>23</v>
      </c>
      <c r="C21" s="440">
        <v>20</v>
      </c>
      <c r="D21" s="466">
        <f t="shared" si="3"/>
        <v>40</v>
      </c>
      <c r="E21" s="455"/>
      <c r="F21" s="453"/>
      <c r="G21" s="453">
        <v>7</v>
      </c>
      <c r="H21" s="453">
        <v>5</v>
      </c>
      <c r="I21" s="453">
        <v>5</v>
      </c>
      <c r="J21" s="453">
        <v>4</v>
      </c>
      <c r="K21" s="453"/>
      <c r="L21" s="453">
        <v>14</v>
      </c>
      <c r="M21" s="453">
        <v>5</v>
      </c>
      <c r="N21" s="453"/>
      <c r="O21" s="454"/>
      <c r="P21" s="464">
        <v>3</v>
      </c>
      <c r="Q21" s="444">
        <f t="shared" si="4"/>
        <v>13</v>
      </c>
      <c r="R21" s="452">
        <v>16</v>
      </c>
      <c r="S21" s="453"/>
      <c r="T21" s="453">
        <v>4</v>
      </c>
      <c r="U21" s="453">
        <v>2</v>
      </c>
      <c r="V21" s="453">
        <v>2</v>
      </c>
      <c r="W21" s="453">
        <v>3</v>
      </c>
      <c r="X21" s="453"/>
      <c r="Y21" s="453">
        <v>2</v>
      </c>
      <c r="Z21" s="453"/>
      <c r="AA21" s="453"/>
      <c r="AB21" s="454"/>
      <c r="AC21" s="447">
        <f t="shared" si="6"/>
        <v>0.32500000000000001</v>
      </c>
      <c r="AD21" s="420">
        <f t="shared" si="5"/>
        <v>173218.17053</v>
      </c>
      <c r="AE21" s="413">
        <v>5541.7884400000003</v>
      </c>
      <c r="AF21" s="408">
        <v>0</v>
      </c>
      <c r="AG21" s="408">
        <v>5329.3380199999992</v>
      </c>
      <c r="AH21" s="408">
        <v>46467.231250000004</v>
      </c>
      <c r="AI21" s="408">
        <v>8572.13436</v>
      </c>
      <c r="AJ21" s="408">
        <v>4396.3942900000002</v>
      </c>
      <c r="AK21" s="408">
        <v>0</v>
      </c>
      <c r="AL21" s="408">
        <v>74066.284169999999</v>
      </c>
      <c r="AM21" s="408">
        <v>28845</v>
      </c>
      <c r="AN21" s="408">
        <v>0</v>
      </c>
      <c r="AO21" s="416">
        <v>0</v>
      </c>
      <c r="AP21" s="420">
        <f t="shared" si="0"/>
        <v>39977.02205</v>
      </c>
      <c r="AQ21" s="415">
        <f>Тымовск!D92/1000</f>
        <v>2011.7884400000003</v>
      </c>
      <c r="AR21" s="408"/>
      <c r="AS21" s="408">
        <f>Тымовск!D86/1000</f>
        <v>2272.4583399999997</v>
      </c>
      <c r="AT21" s="408">
        <f>Тымовск!D87/1000</f>
        <v>15722.919449999999</v>
      </c>
      <c r="AU21" s="408">
        <f>Тымовск!D88/1000</f>
        <v>2328.1475599999994</v>
      </c>
      <c r="AV21" s="408">
        <f>Тымовск!D89/1000</f>
        <v>2169.1382899999999</v>
      </c>
      <c r="AW21" s="408">
        <v>0</v>
      </c>
      <c r="AX21" s="408">
        <f>Тымовск!D90/1000</f>
        <v>15472.569969999999</v>
      </c>
      <c r="AY21" s="408">
        <f>Тымовск!D91/1000</f>
        <v>0</v>
      </c>
      <c r="AZ21" s="408">
        <v>0</v>
      </c>
      <c r="BA21" s="416">
        <v>0</v>
      </c>
      <c r="BB21" s="420">
        <f t="shared" si="1"/>
        <v>39977.02205</v>
      </c>
      <c r="BC21" s="415">
        <f>Тымовск!H92/1000</f>
        <v>2011.7884400000003</v>
      </c>
      <c r="BD21" s="408"/>
      <c r="BE21" s="408">
        <f>Тымовск!H86/1000</f>
        <v>2272.4583399999997</v>
      </c>
      <c r="BF21" s="408">
        <f>Тымовск!H87/1000</f>
        <v>15722.919449999999</v>
      </c>
      <c r="BG21" s="408">
        <f>Тымовск!H88/1000</f>
        <v>2328.1475599999999</v>
      </c>
      <c r="BH21" s="408">
        <f>Тымовск!H89/1000</f>
        <v>2169.1382899999999</v>
      </c>
      <c r="BI21" s="408">
        <v>0</v>
      </c>
      <c r="BJ21" s="408">
        <f>Тымовск!H90/1000</f>
        <v>15472.56997</v>
      </c>
      <c r="BK21" s="408">
        <f>Тымовск!H91/1000</f>
        <v>0</v>
      </c>
      <c r="BL21" s="408">
        <v>0</v>
      </c>
      <c r="BM21" s="414">
        <v>0</v>
      </c>
      <c r="BN21" s="463">
        <f t="shared" si="2"/>
        <v>0.23079000273286168</v>
      </c>
    </row>
    <row r="22" spans="1:66" x14ac:dyDescent="0.25">
      <c r="A22" s="10">
        <v>16</v>
      </c>
      <c r="B22" s="411" t="s">
        <v>24</v>
      </c>
      <c r="C22" s="440">
        <v>21</v>
      </c>
      <c r="D22" s="466">
        <f t="shared" si="3"/>
        <v>57</v>
      </c>
      <c r="E22" s="455"/>
      <c r="F22" s="453"/>
      <c r="G22" s="453">
        <v>7</v>
      </c>
      <c r="H22" s="453">
        <v>9</v>
      </c>
      <c r="I22" s="453">
        <v>10</v>
      </c>
      <c r="J22" s="453">
        <v>10</v>
      </c>
      <c r="K22" s="453"/>
      <c r="L22" s="453">
        <v>11</v>
      </c>
      <c r="M22" s="453">
        <v>10</v>
      </c>
      <c r="N22" s="453"/>
      <c r="O22" s="454"/>
      <c r="P22" s="464">
        <v>4</v>
      </c>
      <c r="Q22" s="444">
        <f t="shared" si="4"/>
        <v>8</v>
      </c>
      <c r="R22" s="452">
        <v>22</v>
      </c>
      <c r="S22" s="453"/>
      <c r="T22" s="453"/>
      <c r="U22" s="453"/>
      <c r="V22" s="453"/>
      <c r="W22" s="453"/>
      <c r="X22" s="453"/>
      <c r="Y22" s="453">
        <v>8</v>
      </c>
      <c r="Z22" s="453"/>
      <c r="AA22" s="453"/>
      <c r="AB22" s="454"/>
      <c r="AC22" s="447">
        <f t="shared" si="6"/>
        <v>0.14035087719298245</v>
      </c>
      <c r="AD22" s="420">
        <f t="shared" si="5"/>
        <v>284067.86800000002</v>
      </c>
      <c r="AE22" s="413">
        <v>15061.58</v>
      </c>
      <c r="AF22" s="408">
        <v>0</v>
      </c>
      <c r="AG22" s="408">
        <v>13129.718999999999</v>
      </c>
      <c r="AH22" s="408">
        <v>55394.44</v>
      </c>
      <c r="AI22" s="408">
        <v>13564.579</v>
      </c>
      <c r="AJ22" s="408">
        <v>9475.3829999999998</v>
      </c>
      <c r="AK22" s="408">
        <v>0</v>
      </c>
      <c r="AL22" s="408">
        <v>48569.167000000001</v>
      </c>
      <c r="AM22" s="408">
        <v>128873</v>
      </c>
      <c r="AN22" s="408">
        <v>0</v>
      </c>
      <c r="AO22" s="416">
        <v>0</v>
      </c>
      <c r="AP22" s="420">
        <f t="shared" ref="AP22:AP27" si="7">SUM(AQ22:BA22)</f>
        <v>39048.724219999996</v>
      </c>
      <c r="AQ22" s="415">
        <f>Углегорск!D134/1000</f>
        <v>5161.5811500000009</v>
      </c>
      <c r="AR22" s="408">
        <f>Углегорск!D133/1000</f>
        <v>0</v>
      </c>
      <c r="AS22" s="408">
        <f>Углегорск!D127/1000</f>
        <v>0</v>
      </c>
      <c r="AT22" s="408">
        <f>Углегорск!D128/1000</f>
        <v>0</v>
      </c>
      <c r="AU22" s="408">
        <f>Углегорск!D129/1000</f>
        <v>0</v>
      </c>
      <c r="AV22" s="408">
        <f>Углегорск!D130/1000</f>
        <v>0</v>
      </c>
      <c r="AW22" s="408"/>
      <c r="AX22" s="408">
        <f>Углегорск!D131/1000</f>
        <v>33887.143069999998</v>
      </c>
      <c r="AY22" s="408">
        <f>Углегорск!D132/1000</f>
        <v>0</v>
      </c>
      <c r="AZ22" s="408">
        <v>0</v>
      </c>
      <c r="BA22" s="416">
        <v>0</v>
      </c>
      <c r="BB22" s="420">
        <f t="shared" si="1"/>
        <v>32956.503400000001</v>
      </c>
      <c r="BC22" s="415">
        <f>Углегорск!H134/1000</f>
        <v>5161.58115</v>
      </c>
      <c r="BD22" s="408">
        <f>Углегорск!H133/1000</f>
        <v>0</v>
      </c>
      <c r="BE22" s="408">
        <f>Углегорск!H127/1000</f>
        <v>0</v>
      </c>
      <c r="BF22" s="408">
        <f>Углегорск!H128/1000</f>
        <v>0</v>
      </c>
      <c r="BG22" s="408">
        <f>Углегорск!H129/1000</f>
        <v>0</v>
      </c>
      <c r="BH22" s="408">
        <f>Углегорск!H130/1000</f>
        <v>0</v>
      </c>
      <c r="BI22" s="408">
        <v>0</v>
      </c>
      <c r="BJ22" s="408">
        <f>Углегорск!H131/1000</f>
        <v>27794.92225</v>
      </c>
      <c r="BK22" s="408">
        <f>Углегорск!H132/1000</f>
        <v>0</v>
      </c>
      <c r="BL22" s="408">
        <v>0</v>
      </c>
      <c r="BM22" s="414">
        <v>0</v>
      </c>
      <c r="BN22" s="463">
        <f t="shared" si="2"/>
        <v>0.11601630142836147</v>
      </c>
    </row>
    <row r="23" spans="1:66" x14ac:dyDescent="0.25">
      <c r="A23" s="10">
        <v>17</v>
      </c>
      <c r="B23" s="411" t="s">
        <v>25</v>
      </c>
      <c r="C23" s="440">
        <v>32</v>
      </c>
      <c r="D23" s="466">
        <f t="shared" si="3"/>
        <v>59</v>
      </c>
      <c r="E23" s="455"/>
      <c r="F23" s="453"/>
      <c r="G23" s="453">
        <v>6</v>
      </c>
      <c r="H23" s="453">
        <v>5</v>
      </c>
      <c r="I23" s="453">
        <v>6</v>
      </c>
      <c r="J23" s="453">
        <v>6</v>
      </c>
      <c r="K23" s="453"/>
      <c r="L23" s="453">
        <v>26</v>
      </c>
      <c r="M23" s="453">
        <v>10</v>
      </c>
      <c r="N23" s="453"/>
      <c r="O23" s="454"/>
      <c r="P23" s="464">
        <v>14</v>
      </c>
      <c r="Q23" s="444">
        <f t="shared" si="4"/>
        <v>36</v>
      </c>
      <c r="R23" s="452">
        <f>8+22</f>
        <v>30</v>
      </c>
      <c r="S23" s="453"/>
      <c r="T23" s="453">
        <v>4</v>
      </c>
      <c r="U23" s="453">
        <v>4</v>
      </c>
      <c r="V23" s="453">
        <v>3</v>
      </c>
      <c r="W23" s="453">
        <v>5</v>
      </c>
      <c r="X23" s="453"/>
      <c r="Y23" s="453">
        <v>18</v>
      </c>
      <c r="Z23" s="453">
        <v>2</v>
      </c>
      <c r="AA23" s="453"/>
      <c r="AB23" s="454"/>
      <c r="AC23" s="447">
        <f t="shared" si="6"/>
        <v>0.61016949152542377</v>
      </c>
      <c r="AD23" s="420">
        <f t="shared" si="5"/>
        <v>307822.85200000001</v>
      </c>
      <c r="AE23" s="413">
        <v>13743.839</v>
      </c>
      <c r="AF23" s="408">
        <v>0</v>
      </c>
      <c r="AG23" s="408">
        <v>10055.637000000001</v>
      </c>
      <c r="AH23" s="408">
        <v>18014.543000000001</v>
      </c>
      <c r="AI23" s="408">
        <v>3768.2489999999998</v>
      </c>
      <c r="AJ23" s="408">
        <v>5935.4260000000004</v>
      </c>
      <c r="AK23" s="408">
        <v>0</v>
      </c>
      <c r="AL23" s="408">
        <v>160596.12700000001</v>
      </c>
      <c r="AM23" s="408">
        <v>95709.031000000003</v>
      </c>
      <c r="AN23" s="408">
        <v>0</v>
      </c>
      <c r="AO23" s="416">
        <v>0</v>
      </c>
      <c r="AP23" s="420">
        <f t="shared" si="7"/>
        <v>150878.90351999999</v>
      </c>
      <c r="AQ23" s="415">
        <f>Холмск!D138/1000</f>
        <v>5243.838999999999</v>
      </c>
      <c r="AR23" s="408"/>
      <c r="AS23" s="408">
        <f>Холмск!D132/1000</f>
        <v>6348.0766299999996</v>
      </c>
      <c r="AT23" s="408">
        <f>Холмск!D133/1000</f>
        <v>13481.025299999999</v>
      </c>
      <c r="AU23" s="408">
        <f>Холмск!D134/1000</f>
        <v>1723.83231</v>
      </c>
      <c r="AV23" s="408">
        <f>Холмск!D135/1000</f>
        <v>4521.6713799999989</v>
      </c>
      <c r="AW23" s="408"/>
      <c r="AX23" s="408">
        <f>Холмск!D136/1000</f>
        <v>112618.75539000001</v>
      </c>
      <c r="AY23" s="408">
        <f>Холмск!D137/1000</f>
        <v>6941.7035099999985</v>
      </c>
      <c r="AZ23" s="408">
        <v>0</v>
      </c>
      <c r="BA23" s="416">
        <v>0</v>
      </c>
      <c r="BB23" s="420">
        <f t="shared" si="1"/>
        <v>127507.71045000001</v>
      </c>
      <c r="BC23" s="415">
        <f>Холмск!H138/1000</f>
        <v>5243.838999999999</v>
      </c>
      <c r="BD23" s="408"/>
      <c r="BE23" s="408">
        <f>Холмск!H132/1000</f>
        <v>5589.96263</v>
      </c>
      <c r="BF23" s="408">
        <f>Холмск!H133/1000</f>
        <v>13481.025300000001</v>
      </c>
      <c r="BG23" s="408">
        <f>Холмск!H134/1000</f>
        <v>1723.83231</v>
      </c>
      <c r="BH23" s="408">
        <f>Холмск!H135/1000</f>
        <v>1319.53736</v>
      </c>
      <c r="BI23" s="408">
        <v>0</v>
      </c>
      <c r="BJ23" s="408">
        <f>Холмск!H136/1000</f>
        <v>94079.482850000015</v>
      </c>
      <c r="BK23" s="408">
        <f>Холмск!H137/1000</f>
        <v>6070.0309999999999</v>
      </c>
      <c r="BL23" s="408">
        <v>0</v>
      </c>
      <c r="BM23" s="414">
        <v>0</v>
      </c>
      <c r="BN23" s="463">
        <f t="shared" si="2"/>
        <v>0.41422431642599428</v>
      </c>
    </row>
    <row r="24" spans="1:66" x14ac:dyDescent="0.25">
      <c r="A24" s="10">
        <v>18</v>
      </c>
      <c r="B24" s="411" t="s">
        <v>26</v>
      </c>
      <c r="C24" s="440">
        <v>33</v>
      </c>
      <c r="D24" s="466">
        <f t="shared" si="3"/>
        <v>48</v>
      </c>
      <c r="E24" s="455"/>
      <c r="F24" s="453"/>
      <c r="G24" s="453"/>
      <c r="H24" s="453">
        <v>8</v>
      </c>
      <c r="I24" s="453">
        <v>4</v>
      </c>
      <c r="J24" s="453">
        <v>9</v>
      </c>
      <c r="K24" s="453"/>
      <c r="L24" s="453">
        <v>17</v>
      </c>
      <c r="M24" s="453">
        <v>5</v>
      </c>
      <c r="N24" s="453">
        <v>4</v>
      </c>
      <c r="O24" s="454">
        <v>1</v>
      </c>
      <c r="P24" s="464">
        <v>7</v>
      </c>
      <c r="Q24" s="444">
        <f t="shared" si="4"/>
        <v>11</v>
      </c>
      <c r="R24" s="452">
        <v>28</v>
      </c>
      <c r="S24" s="453"/>
      <c r="T24" s="453"/>
      <c r="U24" s="453">
        <v>2</v>
      </c>
      <c r="V24" s="453"/>
      <c r="W24" s="453">
        <v>2</v>
      </c>
      <c r="X24" s="453"/>
      <c r="Y24" s="453">
        <v>7</v>
      </c>
      <c r="Z24" s="453"/>
      <c r="AA24" s="453"/>
      <c r="AB24" s="454"/>
      <c r="AC24" s="447">
        <f t="shared" si="6"/>
        <v>0.22916666666666666</v>
      </c>
      <c r="AD24" s="420">
        <f t="shared" si="5"/>
        <v>300445.55699999997</v>
      </c>
      <c r="AE24" s="413">
        <v>6716.0360000000001</v>
      </c>
      <c r="AF24" s="408">
        <v>0</v>
      </c>
      <c r="AG24" s="408">
        <v>0</v>
      </c>
      <c r="AH24" s="408">
        <v>75883.154999999999</v>
      </c>
      <c r="AI24" s="408">
        <v>9699.3349999999991</v>
      </c>
      <c r="AJ24" s="408">
        <v>8926.3860000000004</v>
      </c>
      <c r="AK24" s="408">
        <v>0</v>
      </c>
      <c r="AL24" s="408">
        <v>124175.874</v>
      </c>
      <c r="AM24" s="408">
        <v>72385</v>
      </c>
      <c r="AN24" s="408">
        <v>1704.817</v>
      </c>
      <c r="AO24" s="416">
        <v>954.95399999999995</v>
      </c>
      <c r="AP24" s="420">
        <f t="shared" si="7"/>
        <v>60867.189539999992</v>
      </c>
      <c r="AQ24" s="415">
        <f>Шахтерск!D156/1000</f>
        <v>3082.4184399999999</v>
      </c>
      <c r="AR24" s="408">
        <f>Шахтерск!D155/1000</f>
        <v>0</v>
      </c>
      <c r="AS24" s="408">
        <v>0</v>
      </c>
      <c r="AT24" s="408">
        <f>Шахтерск!D148/1000</f>
        <v>21119.329659999996</v>
      </c>
      <c r="AU24" s="408">
        <f>Шахтерск!D149/1000</f>
        <v>0</v>
      </c>
      <c r="AV24" s="408">
        <f>Шахтерск!D150/1000</f>
        <v>2417.5556799999995</v>
      </c>
      <c r="AW24" s="408">
        <v>0</v>
      </c>
      <c r="AX24" s="408">
        <f>Шахтерск!D151/1000</f>
        <v>34247.885759999997</v>
      </c>
      <c r="AY24" s="408">
        <f>Шахтерск!D152/1000</f>
        <v>0</v>
      </c>
      <c r="AZ24" s="408">
        <f>Шахтерск!D153/1000</f>
        <v>0</v>
      </c>
      <c r="BA24" s="416">
        <f>Шахтерск!D154/1000</f>
        <v>0</v>
      </c>
      <c r="BB24" s="420">
        <f t="shared" si="1"/>
        <v>37224.941999999995</v>
      </c>
      <c r="BC24" s="415">
        <f>Шахтерск!H156/1000</f>
        <v>3082.4184399999999</v>
      </c>
      <c r="BD24" s="408">
        <f>Шахтерск!H155/1000</f>
        <v>0</v>
      </c>
      <c r="BE24" s="408">
        <v>0</v>
      </c>
      <c r="BF24" s="408">
        <f>Шахтерск!H148/1000</f>
        <v>21119.329659999996</v>
      </c>
      <c r="BG24" s="408">
        <f>Шахтерск!H149/1000</f>
        <v>0</v>
      </c>
      <c r="BH24" s="408">
        <f>Шахтерск!H150/1000</f>
        <v>0</v>
      </c>
      <c r="BI24" s="408">
        <v>0</v>
      </c>
      <c r="BJ24" s="408">
        <f>Шахтерск!H151/1000</f>
        <v>13023.1939</v>
      </c>
      <c r="BK24" s="408">
        <f>Шахтерск!H152/1000</f>
        <v>0</v>
      </c>
      <c r="BL24" s="408">
        <f>Шахтерск!H153/1000</f>
        <v>0</v>
      </c>
      <c r="BM24" s="414">
        <f>Шахтерск!H154/1000</f>
        <v>0</v>
      </c>
      <c r="BN24" s="463">
        <f t="shared" si="2"/>
        <v>0.12389912625667485</v>
      </c>
    </row>
    <row r="25" spans="1:66" x14ac:dyDescent="0.25">
      <c r="A25" s="10">
        <v>19</v>
      </c>
      <c r="B25" s="411" t="s">
        <v>27</v>
      </c>
      <c r="C25" s="440">
        <v>9</v>
      </c>
      <c r="D25" s="466">
        <f t="shared" si="3"/>
        <v>17</v>
      </c>
      <c r="E25" s="455"/>
      <c r="F25" s="453"/>
      <c r="G25" s="453"/>
      <c r="H25" s="453">
        <v>2</v>
      </c>
      <c r="I25" s="453">
        <v>2</v>
      </c>
      <c r="J25" s="453">
        <v>3</v>
      </c>
      <c r="K25" s="453"/>
      <c r="L25" s="453">
        <v>6</v>
      </c>
      <c r="M25" s="453">
        <v>2</v>
      </c>
      <c r="N25" s="453">
        <v>1</v>
      </c>
      <c r="O25" s="454">
        <v>1</v>
      </c>
      <c r="P25" s="464"/>
      <c r="Q25" s="444">
        <f t="shared" si="4"/>
        <v>0</v>
      </c>
      <c r="R25" s="452">
        <v>8</v>
      </c>
      <c r="S25" s="453"/>
      <c r="T25" s="453"/>
      <c r="U25" s="453"/>
      <c r="V25" s="453"/>
      <c r="W25" s="453"/>
      <c r="X25" s="453"/>
      <c r="Y25" s="453"/>
      <c r="Z25" s="453"/>
      <c r="AA25" s="453"/>
      <c r="AB25" s="454"/>
      <c r="AC25" s="447">
        <f t="shared" si="6"/>
        <v>0</v>
      </c>
      <c r="AD25" s="420">
        <f t="shared" si="5"/>
        <v>43227.509999999995</v>
      </c>
      <c r="AE25" s="413">
        <v>3641.6480000000001</v>
      </c>
      <c r="AF25" s="408">
        <v>661.94</v>
      </c>
      <c r="AG25" s="408">
        <v>0</v>
      </c>
      <c r="AH25" s="408">
        <v>5320.2839999999997</v>
      </c>
      <c r="AI25" s="408">
        <v>895.48699999999997</v>
      </c>
      <c r="AJ25" s="408">
        <v>1742</v>
      </c>
      <c r="AK25" s="408">
        <v>0</v>
      </c>
      <c r="AL25" s="408">
        <v>18398</v>
      </c>
      <c r="AM25" s="408">
        <v>9968.1509999999998</v>
      </c>
      <c r="AN25" s="408">
        <v>1500</v>
      </c>
      <c r="AO25" s="416">
        <v>1100</v>
      </c>
      <c r="AP25" s="420">
        <f t="shared" si="7"/>
        <v>721.64846999999997</v>
      </c>
      <c r="AQ25" s="415">
        <f>'Южно-Курильск'!D62/1000</f>
        <v>721.64846999999997</v>
      </c>
      <c r="AR25" s="408">
        <f>'Южно-Курильск'!D61/1000</f>
        <v>0</v>
      </c>
      <c r="AS25" s="408">
        <v>0</v>
      </c>
      <c r="AT25" s="408">
        <f>'Южно-Курильск'!D54/1000</f>
        <v>0</v>
      </c>
      <c r="AU25" s="408">
        <f>'Южно-Курильск'!D55/1000</f>
        <v>0</v>
      </c>
      <c r="AV25" s="408">
        <f>'Южно-Курильск'!D56/1000</f>
        <v>0</v>
      </c>
      <c r="AW25" s="408">
        <v>0</v>
      </c>
      <c r="AX25" s="408">
        <f>'Южно-Курильск'!D57/1000</f>
        <v>0</v>
      </c>
      <c r="AY25" s="408">
        <f>'Южно-Курильск'!D58/1000</f>
        <v>0</v>
      </c>
      <c r="AZ25" s="408">
        <f>'Южно-Курильск'!D59/1000</f>
        <v>0</v>
      </c>
      <c r="BA25" s="416">
        <f>'Южно-Курильск'!D60/1000</f>
        <v>0</v>
      </c>
      <c r="BB25" s="420">
        <f t="shared" si="1"/>
        <v>721.64846</v>
      </c>
      <c r="BC25" s="415">
        <f>'Южно-Курильск'!H62/1000</f>
        <v>721.64846</v>
      </c>
      <c r="BD25" s="408">
        <f>'Южно-Курильск'!H61/1000</f>
        <v>0</v>
      </c>
      <c r="BE25" s="408">
        <v>0</v>
      </c>
      <c r="BF25" s="408">
        <f>'Южно-Курильск'!H54/1000</f>
        <v>0</v>
      </c>
      <c r="BG25" s="408">
        <f>'Южно-Курильск'!H55/1000</f>
        <v>0</v>
      </c>
      <c r="BH25" s="408">
        <f>'Южно-Курильск'!H56/1000</f>
        <v>0</v>
      </c>
      <c r="BI25" s="408">
        <v>0</v>
      </c>
      <c r="BJ25" s="408">
        <f>'Южно-Курильск'!H57/1000</f>
        <v>0</v>
      </c>
      <c r="BK25" s="408">
        <f>'Южно-Курильск'!H58/1000</f>
        <v>0</v>
      </c>
      <c r="BL25" s="408">
        <f>'Южно-Курильск'!H59/1000</f>
        <v>0</v>
      </c>
      <c r="BM25" s="414">
        <f>'Южно-Курильск'!H60/1000</f>
        <v>0</v>
      </c>
      <c r="BN25" s="463">
        <f t="shared" si="2"/>
        <v>1.6694194507155282E-2</v>
      </c>
    </row>
    <row r="26" spans="1:66" x14ac:dyDescent="0.25">
      <c r="A26" s="10">
        <v>20</v>
      </c>
      <c r="B26" s="411" t="s">
        <v>28</v>
      </c>
      <c r="C26" s="440">
        <v>148</v>
      </c>
      <c r="D26" s="466">
        <f t="shared" si="3"/>
        <v>181</v>
      </c>
      <c r="E26" s="455"/>
      <c r="F26" s="453"/>
      <c r="G26" s="453">
        <v>12</v>
      </c>
      <c r="H26" s="453">
        <v>13</v>
      </c>
      <c r="I26" s="453">
        <v>7</v>
      </c>
      <c r="J26" s="453">
        <v>6</v>
      </c>
      <c r="K26" s="453"/>
      <c r="L26" s="453">
        <v>126</v>
      </c>
      <c r="M26" s="453">
        <v>17</v>
      </c>
      <c r="N26" s="453"/>
      <c r="O26" s="454"/>
      <c r="P26" s="464">
        <v>31</v>
      </c>
      <c r="Q26" s="444">
        <f t="shared" si="4"/>
        <v>77</v>
      </c>
      <c r="R26" s="452">
        <v>57</v>
      </c>
      <c r="S26" s="453"/>
      <c r="T26" s="453">
        <v>2</v>
      </c>
      <c r="U26" s="453">
        <v>3</v>
      </c>
      <c r="V26" s="453"/>
      <c r="W26" s="453"/>
      <c r="X26" s="453"/>
      <c r="Y26" s="453">
        <v>70</v>
      </c>
      <c r="Z26" s="453">
        <v>2</v>
      </c>
      <c r="AA26" s="453"/>
      <c r="AB26" s="454"/>
      <c r="AC26" s="447">
        <f t="shared" si="6"/>
        <v>0.425414364640884</v>
      </c>
      <c r="AD26" s="420">
        <f t="shared" si="5"/>
        <v>1252873.375</v>
      </c>
      <c r="AE26" s="413">
        <v>35424.053999999996</v>
      </c>
      <c r="AF26" s="408">
        <v>5848.5110000000004</v>
      </c>
      <c r="AG26" s="408">
        <v>17614.010999999999</v>
      </c>
      <c r="AH26" s="408">
        <v>96392.517999999996</v>
      </c>
      <c r="AI26" s="408">
        <v>18824.701000000001</v>
      </c>
      <c r="AJ26" s="408">
        <v>2753.0619999999999</v>
      </c>
      <c r="AK26" s="408">
        <v>0</v>
      </c>
      <c r="AL26" s="408">
        <v>937938.402</v>
      </c>
      <c r="AM26" s="408">
        <v>138078.11600000001</v>
      </c>
      <c r="AN26" s="408">
        <v>0</v>
      </c>
      <c r="AO26" s="416">
        <v>0</v>
      </c>
      <c r="AP26" s="420">
        <f t="shared" si="7"/>
        <v>513666.77387000027</v>
      </c>
      <c r="AQ26" s="415">
        <f>Южный!D580/1000</f>
        <v>5489.7919199999997</v>
      </c>
      <c r="AR26" s="408">
        <f>Южный!D579/1000</f>
        <v>0</v>
      </c>
      <c r="AS26" s="408">
        <f>Южный!D573/1000</f>
        <v>2034.0871099999999</v>
      </c>
      <c r="AT26" s="408">
        <f>Южный!D574/1000</f>
        <v>23564.392170000003</v>
      </c>
      <c r="AU26" s="408">
        <f>Южный!D575/1000</f>
        <v>0</v>
      </c>
      <c r="AV26" s="408">
        <f>Южный!D576/1000</f>
        <v>0</v>
      </c>
      <c r="AW26" s="408">
        <v>0</v>
      </c>
      <c r="AX26" s="408">
        <f>Южный!D577/1000</f>
        <v>476791.29290000023</v>
      </c>
      <c r="AY26" s="408">
        <f>Южный!D578/1000</f>
        <v>5787.2097699999995</v>
      </c>
      <c r="AZ26" s="408">
        <v>0</v>
      </c>
      <c r="BA26" s="416">
        <v>0</v>
      </c>
      <c r="BB26" s="420">
        <f t="shared" si="1"/>
        <v>487232.76010000007</v>
      </c>
      <c r="BC26" s="415">
        <f>Южный!H580/1000</f>
        <v>5489.7919199999997</v>
      </c>
      <c r="BD26" s="408">
        <f>Южный!H579/1000</f>
        <v>0</v>
      </c>
      <c r="BE26" s="408">
        <f>Южный!H573/1000</f>
        <v>0</v>
      </c>
      <c r="BF26" s="408">
        <f>Южный!H574/1000</f>
        <v>18099.863079999999</v>
      </c>
      <c r="BG26" s="408">
        <f>Южный!H575/1000</f>
        <v>0</v>
      </c>
      <c r="BH26" s="408">
        <f>Южный!H576/1000</f>
        <v>0</v>
      </c>
      <c r="BI26" s="408">
        <v>0</v>
      </c>
      <c r="BJ26" s="408">
        <f>Южный!H577/1000</f>
        <v>461870.98929000011</v>
      </c>
      <c r="BK26" s="408">
        <f>Южный!H578/1000</f>
        <v>1772.11581</v>
      </c>
      <c r="BL26" s="408">
        <v>0</v>
      </c>
      <c r="BM26" s="414">
        <v>0</v>
      </c>
      <c r="BN26" s="463">
        <f t="shared" si="2"/>
        <v>0.38889226143863109</v>
      </c>
    </row>
    <row r="27" spans="1:66" ht="25.5" customHeight="1" thickBot="1" x14ac:dyDescent="0.3">
      <c r="A27" s="734" t="s">
        <v>59</v>
      </c>
      <c r="B27" s="760"/>
      <c r="C27" s="442">
        <f>SUM(C7:C26)</f>
        <v>561</v>
      </c>
      <c r="D27" s="467">
        <f>SUM(D7:D26)</f>
        <v>936</v>
      </c>
      <c r="E27" s="456">
        <f>SUM(E7:E26)</f>
        <v>0</v>
      </c>
      <c r="F27" s="457"/>
      <c r="G27" s="457">
        <f>SUM(G7:G26)</f>
        <v>85</v>
      </c>
      <c r="H27" s="457">
        <f t="shared" ref="H27:O27" si="8">SUM(H7:H26)</f>
        <v>103</v>
      </c>
      <c r="I27" s="457">
        <f t="shared" si="8"/>
        <v>101</v>
      </c>
      <c r="J27" s="457">
        <f t="shared" si="8"/>
        <v>96</v>
      </c>
      <c r="K27" s="457">
        <f t="shared" si="8"/>
        <v>17</v>
      </c>
      <c r="L27" s="457">
        <f t="shared" si="8"/>
        <v>391</v>
      </c>
      <c r="M27" s="457">
        <f t="shared" si="8"/>
        <v>126</v>
      </c>
      <c r="N27" s="457">
        <f t="shared" si="8"/>
        <v>11</v>
      </c>
      <c r="O27" s="458">
        <f t="shared" si="8"/>
        <v>6</v>
      </c>
      <c r="P27" s="465">
        <f>SUM(P7:P26)</f>
        <v>194</v>
      </c>
      <c r="Q27" s="445">
        <f>SUM(Q7:Q26)</f>
        <v>437</v>
      </c>
      <c r="R27" s="459">
        <f>SUM(R7:R26)</f>
        <v>414</v>
      </c>
      <c r="S27" s="457">
        <f t="shared" ref="S27:AB27" si="9">SUM(S7:S26)</f>
        <v>19</v>
      </c>
      <c r="T27" s="457">
        <f t="shared" si="9"/>
        <v>40</v>
      </c>
      <c r="U27" s="457">
        <f t="shared" si="9"/>
        <v>50</v>
      </c>
      <c r="V27" s="457">
        <f t="shared" si="9"/>
        <v>41</v>
      </c>
      <c r="W27" s="457">
        <f t="shared" si="9"/>
        <v>46</v>
      </c>
      <c r="X27" s="457">
        <f t="shared" si="9"/>
        <v>17</v>
      </c>
      <c r="Y27" s="457">
        <f t="shared" si="9"/>
        <v>230</v>
      </c>
      <c r="Z27" s="457">
        <f t="shared" si="9"/>
        <v>10</v>
      </c>
      <c r="AA27" s="457">
        <f t="shared" si="9"/>
        <v>1</v>
      </c>
      <c r="AB27" s="458">
        <f t="shared" si="9"/>
        <v>2</v>
      </c>
      <c r="AC27" s="468">
        <f t="shared" si="6"/>
        <v>0.46688034188034189</v>
      </c>
      <c r="AD27" s="421">
        <f>SUM(AE27:AO27)</f>
        <v>4630603.7565299999</v>
      </c>
      <c r="AE27" s="419">
        <f>SUM(AE7:AE26)</f>
        <v>156343.97143999999</v>
      </c>
      <c r="AF27" s="417">
        <f t="shared" ref="AF27:AO27" si="10">SUM(AF7:AF26)</f>
        <v>9809.0349999999999</v>
      </c>
      <c r="AG27" s="417">
        <f t="shared" si="10"/>
        <v>92799.826019999993</v>
      </c>
      <c r="AH27" s="417">
        <f t="shared" si="10"/>
        <v>561736.75325000007</v>
      </c>
      <c r="AI27" s="417">
        <f t="shared" si="10"/>
        <v>100931.58735999998</v>
      </c>
      <c r="AJ27" s="417">
        <f t="shared" si="10"/>
        <v>62610.779289999991</v>
      </c>
      <c r="AK27" s="417">
        <f t="shared" si="10"/>
        <v>14437.494000000001</v>
      </c>
      <c r="AL27" s="417">
        <f t="shared" si="10"/>
        <v>2263806.1111700004</v>
      </c>
      <c r="AM27" s="417">
        <f t="shared" si="10"/>
        <v>1319101.112</v>
      </c>
      <c r="AN27" s="417">
        <f t="shared" si="10"/>
        <v>36138.276000000005</v>
      </c>
      <c r="AO27" s="418">
        <f t="shared" si="10"/>
        <v>12888.811</v>
      </c>
      <c r="AP27" s="717">
        <f t="shared" si="7"/>
        <v>1709925.9863952002</v>
      </c>
      <c r="AQ27" s="714">
        <f t="shared" ref="AQ27:BA27" si="11">SUM(AQ7:AQ26)</f>
        <v>50933.3980152</v>
      </c>
      <c r="AR27" s="417">
        <f t="shared" si="11"/>
        <v>1243.5050700000002</v>
      </c>
      <c r="AS27" s="417">
        <f t="shared" si="11"/>
        <v>37195.35815</v>
      </c>
      <c r="AT27" s="417">
        <f t="shared" si="11"/>
        <v>245674.30282999997</v>
      </c>
      <c r="AU27" s="417">
        <f>SUM(AU7:AU26)</f>
        <v>25529.126290000004</v>
      </c>
      <c r="AV27" s="417">
        <f t="shared" si="11"/>
        <v>29997.442029999998</v>
      </c>
      <c r="AW27" s="417">
        <f t="shared" si="11"/>
        <v>14437.493519999998</v>
      </c>
      <c r="AX27" s="417">
        <f t="shared" si="11"/>
        <v>1248288.8484200002</v>
      </c>
      <c r="AY27" s="417">
        <f t="shared" si="11"/>
        <v>48458.711179999998</v>
      </c>
      <c r="AZ27" s="417">
        <f t="shared" si="11"/>
        <v>1761.6019400000002</v>
      </c>
      <c r="BA27" s="418">
        <f t="shared" si="11"/>
        <v>6406.19895</v>
      </c>
      <c r="BB27" s="421">
        <f>SUM(BC27:BM27)</f>
        <v>1521655.4336099999</v>
      </c>
      <c r="BC27" s="714">
        <f t="shared" ref="BC27:BM27" si="12">SUM(BC7:BC26)</f>
        <v>48817.739059999993</v>
      </c>
      <c r="BD27" s="417">
        <f t="shared" si="12"/>
        <v>1243.5050700000002</v>
      </c>
      <c r="BE27" s="417">
        <f t="shared" si="12"/>
        <v>30051.151420000002</v>
      </c>
      <c r="BF27" s="417">
        <f t="shared" si="12"/>
        <v>206930.299</v>
      </c>
      <c r="BG27" s="417">
        <f t="shared" si="12"/>
        <v>23231.095990000002</v>
      </c>
      <c r="BH27" s="417">
        <f t="shared" si="12"/>
        <v>23072.295569999995</v>
      </c>
      <c r="BI27" s="417">
        <f t="shared" si="12"/>
        <v>14437.493519999998</v>
      </c>
      <c r="BJ27" s="417">
        <f t="shared" si="12"/>
        <v>1124436.0945799998</v>
      </c>
      <c r="BK27" s="417">
        <f t="shared" si="12"/>
        <v>43029.560450000004</v>
      </c>
      <c r="BL27" s="417">
        <f t="shared" si="12"/>
        <v>0</v>
      </c>
      <c r="BM27" s="715">
        <f t="shared" si="12"/>
        <v>6406.1989499999991</v>
      </c>
      <c r="BN27" s="470">
        <f t="shared" si="2"/>
        <v>0.32860843069636153</v>
      </c>
    </row>
    <row r="28" spans="1:66" x14ac:dyDescent="0.25">
      <c r="I28" s="469"/>
    </row>
  </sheetData>
  <mergeCells count="13">
    <mergeCell ref="A1:BN3"/>
    <mergeCell ref="A27:B27"/>
    <mergeCell ref="A4:A5"/>
    <mergeCell ref="B4:B5"/>
    <mergeCell ref="C4:C5"/>
    <mergeCell ref="AD4:AO4"/>
    <mergeCell ref="D4:O4"/>
    <mergeCell ref="Q4:AB4"/>
    <mergeCell ref="AC4:AC5"/>
    <mergeCell ref="BN4:BN5"/>
    <mergeCell ref="AP4:BA4"/>
    <mergeCell ref="BB4:BM4"/>
    <mergeCell ref="P4:P5"/>
  </mergeCells>
  <pageMargins left="0" right="0" top="0.74803149606299213" bottom="0.74803149606299213" header="0.31496062992125984" footer="0"/>
  <pageSetup paperSize="9" scale="53" fitToWidth="2" orientation="landscape" r:id="rId1"/>
  <colBreaks count="1" manualBreakCount="1">
    <brk id="29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5"/>
  </sheetPr>
  <dimension ref="A1:M159"/>
  <sheetViews>
    <sheetView view="pageBreakPreview" zoomScale="75" zoomScaleNormal="100" zoomScaleSheetLayoutView="75" workbookViewId="0">
      <selection sqref="A1:L3"/>
    </sheetView>
  </sheetViews>
  <sheetFormatPr defaultColWidth="9.140625" defaultRowHeight="15" outlineLevelRow="1" x14ac:dyDescent="0.25"/>
  <cols>
    <col min="1" max="1" width="4.42578125" style="25" customWidth="1"/>
    <col min="2" max="2" width="38.42578125" style="56" customWidth="1"/>
    <col min="3" max="3" width="15" style="62" customWidth="1"/>
    <col min="4" max="11" width="16.28515625" style="62" customWidth="1"/>
    <col min="12" max="12" width="17.140625" style="2" customWidth="1"/>
    <col min="13" max="13" width="13.85546875" style="633" customWidth="1"/>
    <col min="14" max="14" width="11.140625" style="2" customWidth="1"/>
    <col min="15" max="16384" width="9.140625" style="2"/>
  </cols>
  <sheetData>
    <row r="1" spans="1:13" ht="15.75" x14ac:dyDescent="0.25">
      <c r="A1" s="777" t="s">
        <v>892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627"/>
    </row>
    <row r="2" spans="1:13" ht="15.75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627"/>
    </row>
    <row r="3" spans="1:13" ht="16.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628"/>
    </row>
    <row r="4" spans="1:13" s="5" customFormat="1" ht="32.25" customHeight="1" x14ac:dyDescent="0.25">
      <c r="A4" s="744" t="s">
        <v>0</v>
      </c>
      <c r="B4" s="761" t="s">
        <v>1</v>
      </c>
      <c r="C4" s="825" t="s">
        <v>713</v>
      </c>
      <c r="D4" s="820" t="s">
        <v>714</v>
      </c>
      <c r="E4" s="821"/>
      <c r="F4" s="821"/>
      <c r="G4" s="822"/>
      <c r="H4" s="823" t="s">
        <v>715</v>
      </c>
      <c r="I4" s="821"/>
      <c r="J4" s="821"/>
      <c r="K4" s="824"/>
      <c r="L4" s="751" t="s">
        <v>716</v>
      </c>
      <c r="M4" s="612"/>
    </row>
    <row r="5" spans="1:13" s="5" customFormat="1" ht="47.25" customHeight="1" x14ac:dyDescent="0.25">
      <c r="A5" s="745"/>
      <c r="B5" s="762"/>
      <c r="C5" s="826"/>
      <c r="D5" s="634" t="s">
        <v>2</v>
      </c>
      <c r="E5" s="635" t="s">
        <v>3</v>
      </c>
      <c r="F5" s="635" t="s">
        <v>717</v>
      </c>
      <c r="G5" s="636" t="s">
        <v>5</v>
      </c>
      <c r="H5" s="637" t="s">
        <v>2</v>
      </c>
      <c r="I5" s="635" t="s">
        <v>3</v>
      </c>
      <c r="J5" s="635" t="s">
        <v>717</v>
      </c>
      <c r="K5" s="638" t="s">
        <v>5</v>
      </c>
      <c r="L5" s="752"/>
      <c r="M5" s="612"/>
    </row>
    <row r="6" spans="1:13" s="5" customFormat="1" ht="25.5" customHeight="1" x14ac:dyDescent="0.25">
      <c r="A6" s="797" t="s">
        <v>26</v>
      </c>
      <c r="B6" s="798"/>
      <c r="C6" s="85">
        <f>C7+C11+C15+C23+C27+C30+C33+C36+C39+C43+C47+C51+C55+C59+C63+C67+C71+C75+C79+C83+C86+C91+C95+C99+C105+C109+C113+C125+C130+C134+C138+C141+C145+C119</f>
        <v>60867189.540000007</v>
      </c>
      <c r="D6" s="21">
        <f>E6+F6+G6</f>
        <v>60867189.540000007</v>
      </c>
      <c r="E6" s="22">
        <f>E7+E11+E15+E23+E27+E30+E33+E36+E39+E43+E47+E51+E55+E59+E63+E67+E71+E75+E79+E83+E86+E91+E95+E99+E105+E109+E113+E125+E130+E134+E138+E141+E145+E119</f>
        <v>49241257.335792504</v>
      </c>
      <c r="F6" s="22">
        <f>F7+F11+F15+F23+F27+F30+F33+F36+F39+F43+F47+F51+F55+F59+F63+F67+F71+F75+F79+F83+F86+F91+F95+F99+F105+F109+F113+F125+F130+F134+F138+F141+F145+F119</f>
        <v>680303.16090000002</v>
      </c>
      <c r="G6" s="33">
        <f>G7+G11+G15+G23+G27+G30+G33+G36+G39+G43+G47+G51+G55+G59+G63+G67+G71+G75+G79+G83+G86+G91+G95+G99+G105+G109+G113+G125+G130+G134+G138+G141+G145+G119</f>
        <v>10945629.043307502</v>
      </c>
      <c r="H6" s="13">
        <f>I6+J6+K6</f>
        <v>37224942.000000007</v>
      </c>
      <c r="I6" s="83">
        <f>I7+I11+I15+I23+I27+I30+I33+I36+I39+I43+I47+I51+I55+I59+I63+I67+I71+I75+I79+I83+I86+I91+I95+I99+I105+I109+I113+I125+I130+I134+I138+I141+I145+I119</f>
        <v>32794644.990000006</v>
      </c>
      <c r="J6" s="83">
        <f>J7+J11+J15+J23+J27+J30+J33+J36+J39+J43+J47+J51+J55+J59+J63+J67+J71+J75+J79+J83+J86+J91+J95+J99+J105+J109+J113+J125+J130+J134+J138+J141+J145+J119</f>
        <v>471185.98</v>
      </c>
      <c r="K6" s="23">
        <f>K7+K11+K15+K23+K27+K30+K33+K36+K39+K43+K47+K51+K55+K59+K63+K67+K71+K75+K79+K83+K86+K91+K95+K99+K105+K109+K113+K125+K130+K134+K138+K141+K145+K119</f>
        <v>3959111.0300000003</v>
      </c>
      <c r="L6" s="217"/>
      <c r="M6" s="613"/>
    </row>
    <row r="7" spans="1:13" s="9" customFormat="1" ht="38.25" customHeight="1" x14ac:dyDescent="0.2">
      <c r="A7" s="218">
        <v>1</v>
      </c>
      <c r="B7" s="212" t="s">
        <v>372</v>
      </c>
      <c r="C7" s="504">
        <f>SUM(C8:C10)</f>
        <v>90683.57</v>
      </c>
      <c r="D7" s="40">
        <f>E7+F7+G7</f>
        <v>90683.57</v>
      </c>
      <c r="E7" s="75">
        <f>SUM(E8:E10)</f>
        <v>85082.95</v>
      </c>
      <c r="F7" s="75">
        <f>SUM(F8:F10)</f>
        <v>4534.18</v>
      </c>
      <c r="G7" s="80">
        <f>SUM(G8:G10)</f>
        <v>1066.44</v>
      </c>
      <c r="H7" s="40">
        <f>I7+J7+K7</f>
        <v>90683.57</v>
      </c>
      <c r="I7" s="75">
        <f>SUM(I8:I10)</f>
        <v>85082.95</v>
      </c>
      <c r="J7" s="75">
        <f>SUM(J8:J10)</f>
        <v>4534.18</v>
      </c>
      <c r="K7" s="80">
        <f>SUM(K8:K10)</f>
        <v>1066.44</v>
      </c>
      <c r="L7" s="35"/>
      <c r="M7" s="629"/>
    </row>
    <row r="8" spans="1:13" outlineLevel="1" x14ac:dyDescent="0.25">
      <c r="A8" s="10"/>
      <c r="B8" s="43" t="s">
        <v>557</v>
      </c>
      <c r="C8" s="296"/>
      <c r="D8" s="53"/>
      <c r="E8" s="11"/>
      <c r="F8" s="11"/>
      <c r="G8" s="106"/>
      <c r="H8" s="53"/>
      <c r="I8" s="11"/>
      <c r="J8" s="11"/>
      <c r="K8" s="106"/>
      <c r="L8" s="28"/>
      <c r="M8" s="630"/>
    </row>
    <row r="9" spans="1:13" outlineLevel="1" x14ac:dyDescent="0.25">
      <c r="A9" s="10"/>
      <c r="B9" s="43" t="s">
        <v>554</v>
      </c>
      <c r="C9" s="296"/>
      <c r="D9" s="53"/>
      <c r="E9" s="11"/>
      <c r="F9" s="11"/>
      <c r="G9" s="106"/>
      <c r="H9" s="53"/>
      <c r="I9" s="11"/>
      <c r="J9" s="11"/>
      <c r="K9" s="106"/>
      <c r="L9" s="28"/>
      <c r="M9" s="630"/>
    </row>
    <row r="10" spans="1:13" s="91" customFormat="1" outlineLevel="1" x14ac:dyDescent="0.25">
      <c r="A10" s="260"/>
      <c r="B10" s="261" t="s">
        <v>67</v>
      </c>
      <c r="C10" s="505">
        <v>90683.57</v>
      </c>
      <c r="D10" s="316">
        <f>E10+F10+G10</f>
        <v>90683.57</v>
      </c>
      <c r="E10" s="257">
        <v>85082.95</v>
      </c>
      <c r="F10" s="257">
        <v>4534.18</v>
      </c>
      <c r="G10" s="269">
        <v>1066.44</v>
      </c>
      <c r="H10" s="316">
        <f>I10+J10+K10</f>
        <v>90683.57</v>
      </c>
      <c r="I10" s="257">
        <v>85082.95</v>
      </c>
      <c r="J10" s="257">
        <v>4534.18</v>
      </c>
      <c r="K10" s="269">
        <v>1066.44</v>
      </c>
      <c r="L10" s="271" t="s">
        <v>781</v>
      </c>
      <c r="M10" s="631"/>
    </row>
    <row r="11" spans="1:13" s="9" customFormat="1" ht="29.25" customHeight="1" x14ac:dyDescent="0.2">
      <c r="A11" s="218">
        <v>2</v>
      </c>
      <c r="B11" s="212" t="s">
        <v>373</v>
      </c>
      <c r="C11" s="504">
        <f>SUM(C12:C14)</f>
        <v>63559.33</v>
      </c>
      <c r="D11" s="40">
        <f>E11+F11+G11</f>
        <v>63559.33</v>
      </c>
      <c r="E11" s="75">
        <f>SUM(E12:E14)</f>
        <v>59633.9</v>
      </c>
      <c r="F11" s="75">
        <f>SUM(F12:F14)</f>
        <v>3177.97</v>
      </c>
      <c r="G11" s="80">
        <f>SUM(G12:G14)</f>
        <v>747.46</v>
      </c>
      <c r="H11" s="40">
        <f>I11+J11+K11</f>
        <v>63559.33</v>
      </c>
      <c r="I11" s="75">
        <f>SUM(I12:I14)</f>
        <v>59633.9</v>
      </c>
      <c r="J11" s="75">
        <f>SUM(J12:J14)</f>
        <v>3177.97</v>
      </c>
      <c r="K11" s="80">
        <f>SUM(K12:K14)</f>
        <v>747.46</v>
      </c>
      <c r="L11" s="35"/>
      <c r="M11" s="629"/>
    </row>
    <row r="12" spans="1:13" outlineLevel="1" x14ac:dyDescent="0.25">
      <c r="A12" s="10"/>
      <c r="B12" s="43" t="s">
        <v>66</v>
      </c>
      <c r="C12" s="296"/>
      <c r="D12" s="53"/>
      <c r="E12" s="11"/>
      <c r="F12" s="11"/>
      <c r="G12" s="106"/>
      <c r="H12" s="53"/>
      <c r="I12" s="11"/>
      <c r="J12" s="11"/>
      <c r="K12" s="106"/>
      <c r="L12" s="28"/>
      <c r="M12" s="630"/>
    </row>
    <row r="13" spans="1:13" outlineLevel="1" x14ac:dyDescent="0.25">
      <c r="A13" s="10"/>
      <c r="B13" s="43" t="s">
        <v>554</v>
      </c>
      <c r="C13" s="296"/>
      <c r="D13" s="53"/>
      <c r="E13" s="11"/>
      <c r="F13" s="11"/>
      <c r="G13" s="106"/>
      <c r="H13" s="53"/>
      <c r="I13" s="11"/>
      <c r="J13" s="11"/>
      <c r="K13" s="106"/>
      <c r="L13" s="28"/>
      <c r="M13" s="630"/>
    </row>
    <row r="14" spans="1:13" s="91" customFormat="1" outlineLevel="1" x14ac:dyDescent="0.25">
      <c r="A14" s="260"/>
      <c r="B14" s="261" t="s">
        <v>67</v>
      </c>
      <c r="C14" s="505">
        <v>63559.33</v>
      </c>
      <c r="D14" s="316">
        <f>E14+F14+G14</f>
        <v>63559.33</v>
      </c>
      <c r="E14" s="257">
        <v>59633.9</v>
      </c>
      <c r="F14" s="257">
        <v>3177.97</v>
      </c>
      <c r="G14" s="269">
        <v>747.46</v>
      </c>
      <c r="H14" s="316">
        <f>I14+J14+K14</f>
        <v>63559.33</v>
      </c>
      <c r="I14" s="257">
        <v>59633.9</v>
      </c>
      <c r="J14" s="257">
        <v>3177.97</v>
      </c>
      <c r="K14" s="269">
        <v>747.46</v>
      </c>
      <c r="L14" s="271" t="s">
        <v>781</v>
      </c>
      <c r="M14" s="631"/>
    </row>
    <row r="15" spans="1:13" s="9" customFormat="1" ht="36" customHeight="1" x14ac:dyDescent="0.2">
      <c r="A15" s="218">
        <v>3</v>
      </c>
      <c r="B15" s="212" t="s">
        <v>374</v>
      </c>
      <c r="C15" s="504">
        <f>SUM(C16:C22)</f>
        <v>349078.16</v>
      </c>
      <c r="D15" s="40">
        <f>E15+F15+G15</f>
        <v>349078.16</v>
      </c>
      <c r="E15" s="75">
        <f>SUM(E16:E22)</f>
        <v>327519.09000000003</v>
      </c>
      <c r="F15" s="75">
        <f>SUM(F16:F22)</f>
        <v>17453.91</v>
      </c>
      <c r="G15" s="80">
        <f>SUM(G16:G22)</f>
        <v>4105.16</v>
      </c>
      <c r="H15" s="40">
        <f>I15+J15+K15</f>
        <v>349078.16</v>
      </c>
      <c r="I15" s="75">
        <f>SUM(I16:I22)</f>
        <v>327519.09000000003</v>
      </c>
      <c r="J15" s="75">
        <f>SUM(J16:J22)</f>
        <v>17453.91</v>
      </c>
      <c r="K15" s="80">
        <f>SUM(K16:K22)</f>
        <v>4105.16</v>
      </c>
      <c r="L15" s="35"/>
      <c r="M15" s="629"/>
    </row>
    <row r="16" spans="1:13" outlineLevel="1" x14ac:dyDescent="0.25">
      <c r="A16" s="10"/>
      <c r="B16" s="43" t="s">
        <v>64</v>
      </c>
      <c r="C16" s="296"/>
      <c r="D16" s="53"/>
      <c r="E16" s="11"/>
      <c r="F16" s="11"/>
      <c r="G16" s="106"/>
      <c r="H16" s="53"/>
      <c r="I16" s="11"/>
      <c r="J16" s="11"/>
      <c r="K16" s="106"/>
      <c r="L16" s="28"/>
      <c r="M16" s="630"/>
    </row>
    <row r="17" spans="1:13" outlineLevel="1" x14ac:dyDescent="0.25">
      <c r="A17" s="10"/>
      <c r="B17" s="43" t="s">
        <v>65</v>
      </c>
      <c r="C17" s="296"/>
      <c r="D17" s="53"/>
      <c r="E17" s="11"/>
      <c r="F17" s="11"/>
      <c r="G17" s="106"/>
      <c r="H17" s="53"/>
      <c r="I17" s="11"/>
      <c r="J17" s="11"/>
      <c r="K17" s="106"/>
      <c r="L17" s="28"/>
      <c r="M17" s="630"/>
    </row>
    <row r="18" spans="1:13" outlineLevel="1" x14ac:dyDescent="0.25">
      <c r="A18" s="10"/>
      <c r="B18" s="43" t="s">
        <v>66</v>
      </c>
      <c r="C18" s="296"/>
      <c r="D18" s="53"/>
      <c r="E18" s="11"/>
      <c r="F18" s="11"/>
      <c r="G18" s="106"/>
      <c r="H18" s="53"/>
      <c r="I18" s="11"/>
      <c r="J18" s="11"/>
      <c r="K18" s="106"/>
      <c r="L18" s="28"/>
      <c r="M18" s="630"/>
    </row>
    <row r="19" spans="1:13" outlineLevel="1" x14ac:dyDescent="0.25">
      <c r="A19" s="10"/>
      <c r="B19" s="43" t="s">
        <v>557</v>
      </c>
      <c r="C19" s="296"/>
      <c r="D19" s="53"/>
      <c r="E19" s="11"/>
      <c r="F19" s="11"/>
      <c r="G19" s="106"/>
      <c r="H19" s="53"/>
      <c r="I19" s="11"/>
      <c r="J19" s="11"/>
      <c r="K19" s="106"/>
      <c r="L19" s="28"/>
      <c r="M19" s="630"/>
    </row>
    <row r="20" spans="1:13" outlineLevel="1" x14ac:dyDescent="0.25">
      <c r="A20" s="10"/>
      <c r="B20" s="43" t="s">
        <v>561</v>
      </c>
      <c r="C20" s="296"/>
      <c r="D20" s="53"/>
      <c r="E20" s="11"/>
      <c r="F20" s="11"/>
      <c r="G20" s="106"/>
      <c r="H20" s="53"/>
      <c r="I20" s="11"/>
      <c r="J20" s="11"/>
      <c r="K20" s="106"/>
      <c r="L20" s="28"/>
      <c r="M20" s="630"/>
    </row>
    <row r="21" spans="1:13" outlineLevel="1" x14ac:dyDescent="0.25">
      <c r="A21" s="10"/>
      <c r="B21" s="43" t="s">
        <v>554</v>
      </c>
      <c r="C21" s="296"/>
      <c r="D21" s="53"/>
      <c r="E21" s="11"/>
      <c r="F21" s="11"/>
      <c r="G21" s="106"/>
      <c r="H21" s="53"/>
      <c r="I21" s="11"/>
      <c r="J21" s="11"/>
      <c r="K21" s="106"/>
      <c r="L21" s="28"/>
      <c r="M21" s="630"/>
    </row>
    <row r="22" spans="1:13" s="91" customFormat="1" outlineLevel="1" x14ac:dyDescent="0.25">
      <c r="A22" s="260"/>
      <c r="B22" s="261" t="s">
        <v>67</v>
      </c>
      <c r="C22" s="505">
        <v>349078.16</v>
      </c>
      <c r="D22" s="316">
        <f>E22+F22+G22</f>
        <v>349078.16</v>
      </c>
      <c r="E22" s="257">
        <v>327519.09000000003</v>
      </c>
      <c r="F22" s="257">
        <v>17453.91</v>
      </c>
      <c r="G22" s="269">
        <v>4105.16</v>
      </c>
      <c r="H22" s="316">
        <f>I22+J22+K22</f>
        <v>349078.16</v>
      </c>
      <c r="I22" s="257">
        <v>327519.09000000003</v>
      </c>
      <c r="J22" s="257">
        <v>17453.91</v>
      </c>
      <c r="K22" s="269">
        <v>4105.16</v>
      </c>
      <c r="L22" s="271" t="s">
        <v>781</v>
      </c>
      <c r="M22" s="631"/>
    </row>
    <row r="23" spans="1:13" s="9" customFormat="1" ht="33" customHeight="1" x14ac:dyDescent="0.2">
      <c r="A23" s="218">
        <v>4</v>
      </c>
      <c r="B23" s="212" t="s">
        <v>598</v>
      </c>
      <c r="C23" s="504">
        <f>SUM(C24:C26)</f>
        <v>65958.59</v>
      </c>
      <c r="D23" s="40">
        <f>E23+F23+G23</f>
        <v>65958.59</v>
      </c>
      <c r="E23" s="75">
        <f>SUM(E24:E26)</f>
        <v>61884.99</v>
      </c>
      <c r="F23" s="75">
        <f>SUM(F24:F26)</f>
        <v>3297.93</v>
      </c>
      <c r="G23" s="80">
        <f>SUM(G24:G26)</f>
        <v>775.67</v>
      </c>
      <c r="H23" s="40">
        <f>I23+J23+K23</f>
        <v>65958.59</v>
      </c>
      <c r="I23" s="75">
        <f>SUM(I24:I26)</f>
        <v>61884.99</v>
      </c>
      <c r="J23" s="75">
        <f>SUM(J24:J26)</f>
        <v>3297.93</v>
      </c>
      <c r="K23" s="80">
        <f>SUM(K24:K26)</f>
        <v>775.67</v>
      </c>
      <c r="L23" s="35"/>
      <c r="M23" s="629"/>
    </row>
    <row r="24" spans="1:13" outlineLevel="1" x14ac:dyDescent="0.25">
      <c r="A24" s="10"/>
      <c r="B24" s="43" t="s">
        <v>66</v>
      </c>
      <c r="C24" s="296"/>
      <c r="D24" s="53"/>
      <c r="E24" s="11"/>
      <c r="F24" s="11"/>
      <c r="G24" s="106"/>
      <c r="H24" s="53"/>
      <c r="I24" s="11"/>
      <c r="J24" s="11"/>
      <c r="K24" s="106"/>
      <c r="L24" s="28"/>
      <c r="M24" s="630"/>
    </row>
    <row r="25" spans="1:13" outlineLevel="1" x14ac:dyDescent="0.25">
      <c r="A25" s="10"/>
      <c r="B25" s="43" t="s">
        <v>606</v>
      </c>
      <c r="C25" s="296"/>
      <c r="D25" s="53"/>
      <c r="E25" s="11"/>
      <c r="F25" s="11"/>
      <c r="G25" s="106"/>
      <c r="H25" s="53"/>
      <c r="I25" s="11"/>
      <c r="J25" s="11"/>
      <c r="K25" s="106"/>
      <c r="L25" s="28"/>
      <c r="M25" s="630"/>
    </row>
    <row r="26" spans="1:13" s="91" customFormat="1" outlineLevel="1" x14ac:dyDescent="0.25">
      <c r="A26" s="260"/>
      <c r="B26" s="261" t="s">
        <v>67</v>
      </c>
      <c r="C26" s="505">
        <v>65958.59</v>
      </c>
      <c r="D26" s="316">
        <f t="shared" ref="D26:D33" si="0">E26+F26+G26</f>
        <v>65958.59</v>
      </c>
      <c r="E26" s="257">
        <v>61884.99</v>
      </c>
      <c r="F26" s="257">
        <v>3297.93</v>
      </c>
      <c r="G26" s="269">
        <v>775.67</v>
      </c>
      <c r="H26" s="316">
        <f>I26+J26+K26</f>
        <v>65958.59</v>
      </c>
      <c r="I26" s="257">
        <v>61884.99</v>
      </c>
      <c r="J26" s="257">
        <v>3297.93</v>
      </c>
      <c r="K26" s="269">
        <v>775.67</v>
      </c>
      <c r="L26" s="271" t="s">
        <v>781</v>
      </c>
      <c r="M26" s="631"/>
    </row>
    <row r="27" spans="1:13" s="395" customFormat="1" ht="33" customHeight="1" x14ac:dyDescent="0.2">
      <c r="A27" s="391">
        <v>5</v>
      </c>
      <c r="B27" s="392" t="s">
        <v>388</v>
      </c>
      <c r="C27" s="568">
        <f>SUM(C28:C29)</f>
        <v>3491302.5700000003</v>
      </c>
      <c r="D27" s="288">
        <f t="shared" si="0"/>
        <v>3491302.57</v>
      </c>
      <c r="E27" s="289">
        <f>SUM(E28:E29)</f>
        <v>2717106.2251024996</v>
      </c>
      <c r="F27" s="289">
        <f>SUM(F28:F29)</f>
        <v>34913.025700000006</v>
      </c>
      <c r="G27" s="247">
        <f>SUM(G28:G29)</f>
        <v>739283.31919750024</v>
      </c>
      <c r="H27" s="288">
        <f>I27+J27+K27</f>
        <v>3491302.5700000003</v>
      </c>
      <c r="I27" s="289">
        <f>SUM(I28:I29)</f>
        <v>2717106.23</v>
      </c>
      <c r="J27" s="289">
        <f>SUM(J28:J29)</f>
        <v>34913.019999999997</v>
      </c>
      <c r="K27" s="247">
        <f>SUM(K28:K29)</f>
        <v>739283.32000000007</v>
      </c>
      <c r="L27" s="400"/>
      <c r="M27" s="664"/>
    </row>
    <row r="28" spans="1:13" s="91" customFormat="1" outlineLevel="1" x14ac:dyDescent="0.25">
      <c r="A28" s="260"/>
      <c r="B28" s="261" t="s">
        <v>555</v>
      </c>
      <c r="C28" s="505">
        <v>3391078.1</v>
      </c>
      <c r="D28" s="316">
        <f t="shared" si="0"/>
        <v>3391078.0999999996</v>
      </c>
      <c r="E28" s="257">
        <v>2623071.6151024997</v>
      </c>
      <c r="F28" s="257">
        <v>29901.805700000004</v>
      </c>
      <c r="G28" s="269">
        <v>738104.67919750023</v>
      </c>
      <c r="H28" s="316">
        <f>SUM(I28:K28)</f>
        <v>3391078.1</v>
      </c>
      <c r="I28" s="257">
        <v>2623071.62</v>
      </c>
      <c r="J28" s="257">
        <v>29901.8</v>
      </c>
      <c r="K28" s="269">
        <v>738104.68</v>
      </c>
      <c r="L28" s="271" t="s">
        <v>831</v>
      </c>
      <c r="M28" s="665">
        <v>42628</v>
      </c>
    </row>
    <row r="29" spans="1:13" s="91" customFormat="1" outlineLevel="1" x14ac:dyDescent="0.25">
      <c r="A29" s="260"/>
      <c r="B29" s="261" t="s">
        <v>67</v>
      </c>
      <c r="C29" s="505">
        <v>100224.47</v>
      </c>
      <c r="D29" s="316">
        <f t="shared" si="0"/>
        <v>100224.47</v>
      </c>
      <c r="E29" s="257">
        <v>94034.61</v>
      </c>
      <c r="F29" s="257">
        <v>5011.22</v>
      </c>
      <c r="G29" s="269">
        <v>1178.6400000000001</v>
      </c>
      <c r="H29" s="316">
        <v>100224.47</v>
      </c>
      <c r="I29" s="257">
        <v>94034.61</v>
      </c>
      <c r="J29" s="257">
        <v>5011.22</v>
      </c>
      <c r="K29" s="269">
        <v>1178.6400000000001</v>
      </c>
      <c r="L29" s="271" t="s">
        <v>781</v>
      </c>
      <c r="M29" s="631"/>
    </row>
    <row r="30" spans="1:13" s="395" customFormat="1" ht="27" customHeight="1" x14ac:dyDescent="0.2">
      <c r="A30" s="391">
        <v>6</v>
      </c>
      <c r="B30" s="392" t="s">
        <v>389</v>
      </c>
      <c r="C30" s="568">
        <f>SUM(C31:C32)</f>
        <v>3488768.52</v>
      </c>
      <c r="D30" s="288">
        <f t="shared" si="0"/>
        <v>3488768.5200000005</v>
      </c>
      <c r="E30" s="289">
        <f>SUM(E31:E32)</f>
        <v>2715134.1006900002</v>
      </c>
      <c r="F30" s="289">
        <f>SUM(F31:F32)</f>
        <v>34887.6852</v>
      </c>
      <c r="G30" s="247">
        <f>SUM(G31:G32)</f>
        <v>738746.73410999984</v>
      </c>
      <c r="H30" s="288">
        <f>I30+J30+K30</f>
        <v>3488768.5199999996</v>
      </c>
      <c r="I30" s="289">
        <f>SUM(I31:I32)</f>
        <v>2715134.0999999996</v>
      </c>
      <c r="J30" s="289">
        <f>SUM(J31:J32)</f>
        <v>34887.69</v>
      </c>
      <c r="K30" s="247">
        <f>SUM(K31:K32)</f>
        <v>738746.73</v>
      </c>
      <c r="L30" s="400"/>
      <c r="M30" s="664"/>
    </row>
    <row r="31" spans="1:13" s="91" customFormat="1" outlineLevel="1" x14ac:dyDescent="0.25">
      <c r="A31" s="260"/>
      <c r="B31" s="261" t="s">
        <v>555</v>
      </c>
      <c r="C31" s="505">
        <v>3388354.66</v>
      </c>
      <c r="D31" s="316">
        <f t="shared" si="0"/>
        <v>3388354.66</v>
      </c>
      <c r="E31" s="257">
        <v>2620921.8006900004</v>
      </c>
      <c r="F31" s="257">
        <v>29866.995200000001</v>
      </c>
      <c r="G31" s="269">
        <v>737565.86410999985</v>
      </c>
      <c r="H31" s="316">
        <f>SUM(I31:K31)</f>
        <v>3388354.6599999997</v>
      </c>
      <c r="I31" s="257">
        <v>2620921.7999999998</v>
      </c>
      <c r="J31" s="257">
        <v>29867</v>
      </c>
      <c r="K31" s="269">
        <v>737565.86</v>
      </c>
      <c r="L31" s="271" t="s">
        <v>831</v>
      </c>
      <c r="M31" s="665">
        <v>42628</v>
      </c>
    </row>
    <row r="32" spans="1:13" s="91" customFormat="1" outlineLevel="1" x14ac:dyDescent="0.25">
      <c r="A32" s="260"/>
      <c r="B32" s="261" t="s">
        <v>67</v>
      </c>
      <c r="C32" s="505">
        <v>100413.86</v>
      </c>
      <c r="D32" s="316">
        <f t="shared" si="0"/>
        <v>100413.86</v>
      </c>
      <c r="E32" s="257">
        <v>94212.3</v>
      </c>
      <c r="F32" s="257">
        <v>5020.6899999999996</v>
      </c>
      <c r="G32" s="269">
        <v>1180.8699999999999</v>
      </c>
      <c r="H32" s="316">
        <v>100413.86</v>
      </c>
      <c r="I32" s="257">
        <v>94212.3</v>
      </c>
      <c r="J32" s="257">
        <v>5020.6899999999996</v>
      </c>
      <c r="K32" s="269">
        <v>1180.8699999999999</v>
      </c>
      <c r="L32" s="271" t="s">
        <v>781</v>
      </c>
      <c r="M32" s="631"/>
    </row>
    <row r="33" spans="1:13" s="395" customFormat="1" ht="39" customHeight="1" x14ac:dyDescent="0.2">
      <c r="A33" s="391">
        <v>7</v>
      </c>
      <c r="B33" s="506" t="s">
        <v>378</v>
      </c>
      <c r="C33" s="568">
        <f>SUM(C34:C35)</f>
        <v>6552091.6699999999</v>
      </c>
      <c r="D33" s="288">
        <f t="shared" si="0"/>
        <v>6552091.6700000009</v>
      </c>
      <c r="E33" s="289">
        <f>SUM(E34:E35)</f>
        <v>5099165.3400000008</v>
      </c>
      <c r="F33" s="289">
        <f>SUM(F34:F35)</f>
        <v>65520.920000000013</v>
      </c>
      <c r="G33" s="247">
        <f>SUM(G34:G35)</f>
        <v>1387405.4100000001</v>
      </c>
      <c r="H33" s="288">
        <f>I33+J33+K33</f>
        <v>100088.84999999999</v>
      </c>
      <c r="I33" s="289">
        <f>SUM(I34:I35)</f>
        <v>93907.36</v>
      </c>
      <c r="J33" s="289">
        <f>SUM(J34:J35)</f>
        <v>5004.45</v>
      </c>
      <c r="K33" s="247">
        <f>SUM(K34:K35)</f>
        <v>1177.04</v>
      </c>
      <c r="L33" s="400"/>
      <c r="M33" s="664"/>
    </row>
    <row r="34" spans="1:13" s="91" customFormat="1" outlineLevel="1" x14ac:dyDescent="0.25">
      <c r="A34" s="260"/>
      <c r="B34" s="261" t="s">
        <v>555</v>
      </c>
      <c r="C34" s="505">
        <v>6452002.8200000003</v>
      </c>
      <c r="D34" s="316">
        <f>SUM(E34:G34)</f>
        <v>6452002.8200000003</v>
      </c>
      <c r="E34" s="257">
        <v>5005257.9800000004</v>
      </c>
      <c r="F34" s="257">
        <v>60516.470000000016</v>
      </c>
      <c r="G34" s="269">
        <v>1386228.37</v>
      </c>
      <c r="H34" s="316"/>
      <c r="I34" s="257"/>
      <c r="J34" s="257"/>
      <c r="K34" s="269"/>
      <c r="L34" s="271" t="s">
        <v>865</v>
      </c>
      <c r="M34" s="632">
        <v>42661</v>
      </c>
    </row>
    <row r="35" spans="1:13" s="91" customFormat="1" outlineLevel="1" x14ac:dyDescent="0.25">
      <c r="A35" s="260"/>
      <c r="B35" s="261" t="s">
        <v>67</v>
      </c>
      <c r="C35" s="505">
        <v>100088.85</v>
      </c>
      <c r="D35" s="316">
        <f>E35+F35+G35</f>
        <v>100088.84999999999</v>
      </c>
      <c r="E35" s="257">
        <v>93907.36</v>
      </c>
      <c r="F35" s="257">
        <v>5004.45</v>
      </c>
      <c r="G35" s="269">
        <v>1177.04</v>
      </c>
      <c r="H35" s="316">
        <f>I35+J35+K35</f>
        <v>100088.84999999999</v>
      </c>
      <c r="I35" s="257">
        <v>93907.36</v>
      </c>
      <c r="J35" s="257">
        <v>5004.45</v>
      </c>
      <c r="K35" s="269">
        <v>1177.04</v>
      </c>
      <c r="L35" s="271" t="s">
        <v>781</v>
      </c>
      <c r="M35" s="631"/>
    </row>
    <row r="36" spans="1:13" s="395" customFormat="1" ht="30" customHeight="1" x14ac:dyDescent="0.2">
      <c r="A36" s="391">
        <v>8</v>
      </c>
      <c r="B36" s="506" t="s">
        <v>379</v>
      </c>
      <c r="C36" s="568">
        <f>SUM(C37:C38)</f>
        <v>6548517.4100000001</v>
      </c>
      <c r="D36" s="288">
        <f>E36+F36+G36</f>
        <v>6548517.4100000001</v>
      </c>
      <c r="E36" s="289">
        <f>SUM(E37:E38)</f>
        <v>5096383.67</v>
      </c>
      <c r="F36" s="289">
        <f>SUM(F37:F38)</f>
        <v>65485.17</v>
      </c>
      <c r="G36" s="247">
        <f>SUM(G37:G38)</f>
        <v>1386648.57</v>
      </c>
      <c r="H36" s="288">
        <f>I36+J36+K36</f>
        <v>96514.59</v>
      </c>
      <c r="I36" s="289">
        <f>SUM(I37:I38)</f>
        <v>90553.85</v>
      </c>
      <c r="J36" s="289">
        <f>SUM(J37:J38)</f>
        <v>4825.7299999999996</v>
      </c>
      <c r="K36" s="247">
        <f>SUM(K37:K38)</f>
        <v>1135.01</v>
      </c>
      <c r="L36" s="400"/>
      <c r="M36" s="664"/>
    </row>
    <row r="37" spans="1:13" s="91" customFormat="1" outlineLevel="1" x14ac:dyDescent="0.25">
      <c r="A37" s="260"/>
      <c r="B37" s="261" t="s">
        <v>555</v>
      </c>
      <c r="C37" s="505">
        <v>6452002.8200000003</v>
      </c>
      <c r="D37" s="316">
        <f>SUM(E37:G37)</f>
        <v>6452002.8200000003</v>
      </c>
      <c r="E37" s="257">
        <v>5005829.82</v>
      </c>
      <c r="F37" s="257">
        <v>60659.44</v>
      </c>
      <c r="G37" s="269">
        <v>1385513.56</v>
      </c>
      <c r="H37" s="316"/>
      <c r="I37" s="257"/>
      <c r="J37" s="257"/>
      <c r="K37" s="269"/>
      <c r="L37" s="271" t="s">
        <v>865</v>
      </c>
      <c r="M37" s="632">
        <v>42661</v>
      </c>
    </row>
    <row r="38" spans="1:13" s="91" customFormat="1" outlineLevel="1" x14ac:dyDescent="0.25">
      <c r="A38" s="260"/>
      <c r="B38" s="261" t="s">
        <v>67</v>
      </c>
      <c r="C38" s="505">
        <v>96514.59</v>
      </c>
      <c r="D38" s="316">
        <f>E38+F38+G38</f>
        <v>96514.59</v>
      </c>
      <c r="E38" s="257">
        <v>90553.85</v>
      </c>
      <c r="F38" s="257">
        <v>4825.7299999999996</v>
      </c>
      <c r="G38" s="269">
        <v>1135.01</v>
      </c>
      <c r="H38" s="316">
        <v>96514.59</v>
      </c>
      <c r="I38" s="257">
        <v>90553.85</v>
      </c>
      <c r="J38" s="257">
        <v>4825.7299999999996</v>
      </c>
      <c r="K38" s="269">
        <v>1135.01</v>
      </c>
      <c r="L38" s="271" t="s">
        <v>781</v>
      </c>
      <c r="M38" s="631"/>
    </row>
    <row r="39" spans="1:13" s="9" customFormat="1" ht="33" customHeight="1" x14ac:dyDescent="0.2">
      <c r="A39" s="218">
        <v>9</v>
      </c>
      <c r="B39" s="212" t="s">
        <v>599</v>
      </c>
      <c r="C39" s="504">
        <f>SUM(C40:C42)</f>
        <v>37607.74</v>
      </c>
      <c r="D39" s="40">
        <f>E39+F39+G39</f>
        <v>37607.74</v>
      </c>
      <c r="E39" s="75">
        <f>SUM(E40:E42)</f>
        <v>35285.08</v>
      </c>
      <c r="F39" s="75">
        <f>SUM(F40:F42)</f>
        <v>1880.39</v>
      </c>
      <c r="G39" s="80">
        <f>SUM(G40:G42)</f>
        <v>442.27</v>
      </c>
      <c r="H39" s="40">
        <f>I39+J39+K39</f>
        <v>37607.74</v>
      </c>
      <c r="I39" s="75">
        <f>SUM(I40:I42)</f>
        <v>35285.08</v>
      </c>
      <c r="J39" s="75">
        <f>SUM(J40:J42)</f>
        <v>1880.39</v>
      </c>
      <c r="K39" s="80">
        <f>SUM(K40:K42)</f>
        <v>442.27</v>
      </c>
      <c r="L39" s="35"/>
      <c r="M39" s="629"/>
    </row>
    <row r="40" spans="1:13" outlineLevel="1" x14ac:dyDescent="0.25">
      <c r="A40" s="10"/>
      <c r="B40" s="43" t="s">
        <v>64</v>
      </c>
      <c r="C40" s="296"/>
      <c r="D40" s="53"/>
      <c r="E40" s="11"/>
      <c r="F40" s="11"/>
      <c r="G40" s="106"/>
      <c r="H40" s="53"/>
      <c r="I40" s="11"/>
      <c r="J40" s="11"/>
      <c r="K40" s="106"/>
      <c r="L40" s="28"/>
      <c r="M40" s="630"/>
    </row>
    <row r="41" spans="1:13" outlineLevel="1" x14ac:dyDescent="0.25">
      <c r="A41" s="10"/>
      <c r="B41" s="43" t="s">
        <v>554</v>
      </c>
      <c r="C41" s="296"/>
      <c r="D41" s="53"/>
      <c r="E41" s="11"/>
      <c r="F41" s="11"/>
      <c r="G41" s="106"/>
      <c r="H41" s="53"/>
      <c r="I41" s="11"/>
      <c r="J41" s="11"/>
      <c r="K41" s="106"/>
      <c r="L41" s="28"/>
      <c r="M41" s="630"/>
    </row>
    <row r="42" spans="1:13" s="91" customFormat="1" outlineLevel="1" x14ac:dyDescent="0.25">
      <c r="A42" s="260"/>
      <c r="B42" s="261" t="s">
        <v>67</v>
      </c>
      <c r="C42" s="505">
        <v>37607.74</v>
      </c>
      <c r="D42" s="316">
        <f>E42+F42+G42</f>
        <v>37607.74</v>
      </c>
      <c r="E42" s="257">
        <v>35285.08</v>
      </c>
      <c r="F42" s="257">
        <v>1880.39</v>
      </c>
      <c r="G42" s="269">
        <v>442.27</v>
      </c>
      <c r="H42" s="316">
        <f>I42+J42+K42</f>
        <v>37607.74</v>
      </c>
      <c r="I42" s="257">
        <v>35285.08</v>
      </c>
      <c r="J42" s="257">
        <v>1880.39</v>
      </c>
      <c r="K42" s="269">
        <v>442.27</v>
      </c>
      <c r="L42" s="271" t="s">
        <v>781</v>
      </c>
      <c r="M42" s="631"/>
    </row>
    <row r="43" spans="1:13" s="9" customFormat="1" ht="32.25" customHeight="1" x14ac:dyDescent="0.2">
      <c r="A43" s="218">
        <v>10</v>
      </c>
      <c r="B43" s="60" t="s">
        <v>600</v>
      </c>
      <c r="C43" s="504">
        <f>SUM(C44:C46)</f>
        <v>94407.679999999993</v>
      </c>
      <c r="D43" s="40">
        <f>E43+F43+G43</f>
        <v>94407.680000000008</v>
      </c>
      <c r="E43" s="75">
        <f>SUM(E44:E46)</f>
        <v>88577.07</v>
      </c>
      <c r="F43" s="75">
        <f>SUM(F44:F46)</f>
        <v>4720.38</v>
      </c>
      <c r="G43" s="80">
        <f>SUM(G44:G46)</f>
        <v>1110.23</v>
      </c>
      <c r="H43" s="40">
        <f>I43+J43+K43</f>
        <v>94407.680000000008</v>
      </c>
      <c r="I43" s="75">
        <f>SUM(I44:I46)</f>
        <v>88577.07</v>
      </c>
      <c r="J43" s="75">
        <f>SUM(J44:J46)</f>
        <v>4720.38</v>
      </c>
      <c r="K43" s="80">
        <f>SUM(K44:K46)</f>
        <v>1110.23</v>
      </c>
      <c r="L43" s="35"/>
      <c r="M43" s="629"/>
    </row>
    <row r="44" spans="1:13" outlineLevel="1" x14ac:dyDescent="0.25">
      <c r="A44" s="10"/>
      <c r="B44" s="43" t="s">
        <v>555</v>
      </c>
      <c r="C44" s="296"/>
      <c r="D44" s="53"/>
      <c r="E44" s="11"/>
      <c r="F44" s="11"/>
      <c r="G44" s="106"/>
      <c r="H44" s="53"/>
      <c r="I44" s="11"/>
      <c r="J44" s="11"/>
      <c r="K44" s="106"/>
      <c r="L44" s="28"/>
      <c r="M44" s="630"/>
    </row>
    <row r="45" spans="1:13" outlineLevel="1" x14ac:dyDescent="0.25">
      <c r="A45" s="10"/>
      <c r="B45" s="43" t="s">
        <v>554</v>
      </c>
      <c r="C45" s="296"/>
      <c r="D45" s="53"/>
      <c r="E45" s="11"/>
      <c r="F45" s="11"/>
      <c r="G45" s="106"/>
      <c r="H45" s="53"/>
      <c r="I45" s="11"/>
      <c r="J45" s="11"/>
      <c r="K45" s="106"/>
      <c r="L45" s="28"/>
      <c r="M45" s="630"/>
    </row>
    <row r="46" spans="1:13" s="91" customFormat="1" outlineLevel="1" x14ac:dyDescent="0.25">
      <c r="A46" s="260"/>
      <c r="B46" s="261" t="s">
        <v>67</v>
      </c>
      <c r="C46" s="505">
        <v>94407.679999999993</v>
      </c>
      <c r="D46" s="316">
        <f>E46+F46+G46</f>
        <v>94407.680000000008</v>
      </c>
      <c r="E46" s="257">
        <v>88577.07</v>
      </c>
      <c r="F46" s="257">
        <v>4720.38</v>
      </c>
      <c r="G46" s="269">
        <v>1110.23</v>
      </c>
      <c r="H46" s="316">
        <f>I46+J46+K46</f>
        <v>94407.680000000008</v>
      </c>
      <c r="I46" s="257">
        <v>88577.07</v>
      </c>
      <c r="J46" s="257">
        <v>4720.38</v>
      </c>
      <c r="K46" s="269">
        <v>1110.23</v>
      </c>
      <c r="L46" s="271" t="s">
        <v>781</v>
      </c>
      <c r="M46" s="631"/>
    </row>
    <row r="47" spans="1:13" s="9" customFormat="1" ht="33" customHeight="1" x14ac:dyDescent="0.2">
      <c r="A47" s="218">
        <v>11</v>
      </c>
      <c r="B47" s="60" t="s">
        <v>55</v>
      </c>
      <c r="C47" s="504">
        <f>SUM(C48:C50)</f>
        <v>0</v>
      </c>
      <c r="D47" s="40">
        <f>E47+F47+G47</f>
        <v>0</v>
      </c>
      <c r="E47" s="75">
        <f>SUM(E48:E50)</f>
        <v>0</v>
      </c>
      <c r="F47" s="75">
        <f>SUM(F48:F50)</f>
        <v>0</v>
      </c>
      <c r="G47" s="80">
        <f>SUM(G48:G50)</f>
        <v>0</v>
      </c>
      <c r="H47" s="40">
        <f>I47+J47+K47</f>
        <v>0</v>
      </c>
      <c r="I47" s="75">
        <f>SUM(I48:I50)</f>
        <v>0</v>
      </c>
      <c r="J47" s="75">
        <f>SUM(J48:J50)</f>
        <v>0</v>
      </c>
      <c r="K47" s="80">
        <f>SUM(K48:K50)</f>
        <v>0</v>
      </c>
      <c r="L47" s="35"/>
      <c r="M47" s="629"/>
    </row>
    <row r="48" spans="1:13" outlineLevel="1" x14ac:dyDescent="0.25">
      <c r="A48" s="10"/>
      <c r="B48" s="43" t="s">
        <v>564</v>
      </c>
      <c r="C48" s="296"/>
      <c r="D48" s="53"/>
      <c r="E48" s="11"/>
      <c r="F48" s="11"/>
      <c r="G48" s="106"/>
      <c r="H48" s="53"/>
      <c r="I48" s="11"/>
      <c r="J48" s="11"/>
      <c r="K48" s="106"/>
      <c r="L48" s="28"/>
      <c r="M48" s="630"/>
    </row>
    <row r="49" spans="1:13" outlineLevel="1" x14ac:dyDescent="0.25">
      <c r="A49" s="10"/>
      <c r="B49" s="43" t="s">
        <v>554</v>
      </c>
      <c r="C49" s="296"/>
      <c r="D49" s="53"/>
      <c r="E49" s="11"/>
      <c r="F49" s="11"/>
      <c r="G49" s="106"/>
      <c r="H49" s="53"/>
      <c r="I49" s="11"/>
      <c r="J49" s="11"/>
      <c r="K49" s="106"/>
      <c r="L49" s="28"/>
      <c r="M49" s="630"/>
    </row>
    <row r="50" spans="1:13" outlineLevel="1" x14ac:dyDescent="0.25">
      <c r="A50" s="10"/>
      <c r="B50" s="43" t="s">
        <v>67</v>
      </c>
      <c r="C50" s="296"/>
      <c r="D50" s="53"/>
      <c r="E50" s="11"/>
      <c r="F50" s="11"/>
      <c r="G50" s="106"/>
      <c r="H50" s="53"/>
      <c r="I50" s="11"/>
      <c r="J50" s="11"/>
      <c r="K50" s="106"/>
      <c r="L50" s="28"/>
      <c r="M50" s="630"/>
    </row>
    <row r="51" spans="1:13" s="9" customFormat="1" ht="27.75" customHeight="1" x14ac:dyDescent="0.2">
      <c r="A51" s="218">
        <v>12</v>
      </c>
      <c r="B51" s="60" t="s">
        <v>390</v>
      </c>
      <c r="C51" s="504">
        <f>SUM(C52:C54)</f>
        <v>100653.58000000002</v>
      </c>
      <c r="D51" s="40">
        <f>E51+F51+G51</f>
        <v>100653.58000000002</v>
      </c>
      <c r="E51" s="75">
        <f>SUM(E52:E54)</f>
        <v>94437.21</v>
      </c>
      <c r="F51" s="75">
        <f>SUM(F52:F54)</f>
        <v>5032.68</v>
      </c>
      <c r="G51" s="80">
        <f>SUM(G52:G54)</f>
        <v>1183.69</v>
      </c>
      <c r="H51" s="40">
        <f>I51+J51+K51</f>
        <v>100653.58000000002</v>
      </c>
      <c r="I51" s="75">
        <f>SUM(I52:I54)</f>
        <v>94437.21</v>
      </c>
      <c r="J51" s="75">
        <f>SUM(J52:J54)</f>
        <v>5032.68</v>
      </c>
      <c r="K51" s="80">
        <f>SUM(K52:K54)</f>
        <v>1183.69</v>
      </c>
      <c r="L51" s="35"/>
      <c r="M51" s="629"/>
    </row>
    <row r="52" spans="1:13" outlineLevel="1" x14ac:dyDescent="0.25">
      <c r="A52" s="10"/>
      <c r="B52" s="43" t="s">
        <v>555</v>
      </c>
      <c r="C52" s="296"/>
      <c r="D52" s="53"/>
      <c r="E52" s="11"/>
      <c r="F52" s="11"/>
      <c r="G52" s="106"/>
      <c r="H52" s="53"/>
      <c r="I52" s="11"/>
      <c r="J52" s="11"/>
      <c r="K52" s="106"/>
      <c r="L52" s="28"/>
      <c r="M52" s="630"/>
    </row>
    <row r="53" spans="1:13" outlineLevel="1" x14ac:dyDescent="0.25">
      <c r="A53" s="10"/>
      <c r="B53" s="43" t="s">
        <v>554</v>
      </c>
      <c r="C53" s="296"/>
      <c r="D53" s="53"/>
      <c r="E53" s="11"/>
      <c r="F53" s="11"/>
      <c r="G53" s="106"/>
      <c r="H53" s="53"/>
      <c r="I53" s="11"/>
      <c r="J53" s="11"/>
      <c r="K53" s="106"/>
      <c r="L53" s="28"/>
      <c r="M53" s="630"/>
    </row>
    <row r="54" spans="1:13" s="91" customFormat="1" outlineLevel="1" x14ac:dyDescent="0.25">
      <c r="A54" s="260"/>
      <c r="B54" s="261" t="s">
        <v>67</v>
      </c>
      <c r="C54" s="505">
        <v>100653.58000000002</v>
      </c>
      <c r="D54" s="316">
        <f>E54+F54+G54</f>
        <v>100653.58000000002</v>
      </c>
      <c r="E54" s="257">
        <v>94437.21</v>
      </c>
      <c r="F54" s="257">
        <v>5032.68</v>
      </c>
      <c r="G54" s="269">
        <v>1183.69</v>
      </c>
      <c r="H54" s="316">
        <f>I54+J54+K54</f>
        <v>100653.58000000002</v>
      </c>
      <c r="I54" s="257">
        <v>94437.21</v>
      </c>
      <c r="J54" s="257">
        <v>5032.68</v>
      </c>
      <c r="K54" s="269">
        <v>1183.69</v>
      </c>
      <c r="L54" s="271" t="s">
        <v>781</v>
      </c>
      <c r="M54" s="631"/>
    </row>
    <row r="55" spans="1:13" s="9" customFormat="1" ht="29.25" customHeight="1" x14ac:dyDescent="0.2">
      <c r="A55" s="218">
        <v>13</v>
      </c>
      <c r="B55" s="60" t="s">
        <v>375</v>
      </c>
      <c r="C55" s="504">
        <f>SUM(C56:C58)</f>
        <v>72342.75</v>
      </c>
      <c r="D55" s="40">
        <f>E55+F55+G55</f>
        <v>72342.75</v>
      </c>
      <c r="E55" s="75">
        <f>SUM(E56:E58)</f>
        <v>67874.86</v>
      </c>
      <c r="F55" s="75">
        <f>SUM(F56:F58)</f>
        <v>3617.14</v>
      </c>
      <c r="G55" s="80">
        <f>SUM(G56:G58)</f>
        <v>850.75</v>
      </c>
      <c r="H55" s="40">
        <f>I55+J55+K55</f>
        <v>72342.75</v>
      </c>
      <c r="I55" s="75">
        <f>SUM(I56:I58)</f>
        <v>67874.86</v>
      </c>
      <c r="J55" s="75">
        <f>SUM(J56:J58)</f>
        <v>3617.14</v>
      </c>
      <c r="K55" s="80">
        <f>SUM(K56:K58)</f>
        <v>850.75</v>
      </c>
      <c r="L55" s="35"/>
      <c r="M55" s="629"/>
    </row>
    <row r="56" spans="1:13" outlineLevel="1" x14ac:dyDescent="0.25">
      <c r="A56" s="10"/>
      <c r="B56" s="43" t="s">
        <v>557</v>
      </c>
      <c r="C56" s="296"/>
      <c r="D56" s="53"/>
      <c r="E56" s="11"/>
      <c r="F56" s="11"/>
      <c r="G56" s="106"/>
      <c r="H56" s="53"/>
      <c r="I56" s="11"/>
      <c r="J56" s="11"/>
      <c r="K56" s="106"/>
      <c r="L56" s="28"/>
      <c r="M56" s="630"/>
    </row>
    <row r="57" spans="1:13" outlineLevel="1" x14ac:dyDescent="0.25">
      <c r="A57" s="10"/>
      <c r="B57" s="43" t="s">
        <v>554</v>
      </c>
      <c r="C57" s="296"/>
      <c r="D57" s="53"/>
      <c r="E57" s="11"/>
      <c r="F57" s="11"/>
      <c r="G57" s="106"/>
      <c r="H57" s="53"/>
      <c r="I57" s="11"/>
      <c r="J57" s="11"/>
      <c r="K57" s="106"/>
      <c r="L57" s="28"/>
      <c r="M57" s="630"/>
    </row>
    <row r="58" spans="1:13" s="91" customFormat="1" outlineLevel="1" x14ac:dyDescent="0.25">
      <c r="A58" s="260"/>
      <c r="B58" s="261" t="s">
        <v>67</v>
      </c>
      <c r="C58" s="505">
        <v>72342.75</v>
      </c>
      <c r="D58" s="316">
        <f>E58+F58+G58</f>
        <v>72342.75</v>
      </c>
      <c r="E58" s="257">
        <v>67874.86</v>
      </c>
      <c r="F58" s="257">
        <v>3617.14</v>
      </c>
      <c r="G58" s="269">
        <v>850.75</v>
      </c>
      <c r="H58" s="316">
        <f>I58+J58+K58</f>
        <v>72342.75</v>
      </c>
      <c r="I58" s="257">
        <v>67874.86</v>
      </c>
      <c r="J58" s="257">
        <v>3617.14</v>
      </c>
      <c r="K58" s="269">
        <v>850.75</v>
      </c>
      <c r="L58" s="271" t="s">
        <v>781</v>
      </c>
      <c r="M58" s="631"/>
    </row>
    <row r="59" spans="1:13" s="9" customFormat="1" ht="29.25" customHeight="1" x14ac:dyDescent="0.2">
      <c r="A59" s="218">
        <v>14</v>
      </c>
      <c r="B59" s="60" t="s">
        <v>380</v>
      </c>
      <c r="C59" s="504">
        <f>SUM(C60:C62)</f>
        <v>100388.31</v>
      </c>
      <c r="D59" s="40">
        <f>E59+F59+G59</f>
        <v>100388.31000000001</v>
      </c>
      <c r="E59" s="75">
        <f>SUM(E60:E62)</f>
        <v>94188.32</v>
      </c>
      <c r="F59" s="75">
        <f>SUM(F60:F62)</f>
        <v>5019.42</v>
      </c>
      <c r="G59" s="80">
        <f>SUM(G60:G62)</f>
        <v>1180.57</v>
      </c>
      <c r="H59" s="40">
        <f>I59+J59+K59</f>
        <v>100388.31000000001</v>
      </c>
      <c r="I59" s="75">
        <f>SUM(I60:I62)</f>
        <v>94188.32</v>
      </c>
      <c r="J59" s="75">
        <f>SUM(J60:J62)</f>
        <v>5019.42</v>
      </c>
      <c r="K59" s="80">
        <f>SUM(K60:K62)</f>
        <v>1180.57</v>
      </c>
      <c r="L59" s="35"/>
      <c r="M59" s="629"/>
    </row>
    <row r="60" spans="1:13" outlineLevel="1" x14ac:dyDescent="0.25">
      <c r="A60" s="10"/>
      <c r="B60" s="43" t="s">
        <v>555</v>
      </c>
      <c r="C60" s="296"/>
      <c r="D60" s="53"/>
      <c r="E60" s="11"/>
      <c r="F60" s="11"/>
      <c r="G60" s="106"/>
      <c r="H60" s="53"/>
      <c r="I60" s="11"/>
      <c r="J60" s="11"/>
      <c r="K60" s="106"/>
      <c r="L60" s="28"/>
      <c r="M60" s="630"/>
    </row>
    <row r="61" spans="1:13" outlineLevel="1" x14ac:dyDescent="0.25">
      <c r="A61" s="10"/>
      <c r="B61" s="43" t="s">
        <v>554</v>
      </c>
      <c r="C61" s="296"/>
      <c r="D61" s="53"/>
      <c r="E61" s="11"/>
      <c r="F61" s="11"/>
      <c r="G61" s="106"/>
      <c r="H61" s="53"/>
      <c r="I61" s="11"/>
      <c r="J61" s="11"/>
      <c r="K61" s="106"/>
      <c r="L61" s="28"/>
      <c r="M61" s="630"/>
    </row>
    <row r="62" spans="1:13" s="91" customFormat="1" outlineLevel="1" x14ac:dyDescent="0.25">
      <c r="A62" s="260"/>
      <c r="B62" s="261" t="s">
        <v>67</v>
      </c>
      <c r="C62" s="505">
        <v>100388.31</v>
      </c>
      <c r="D62" s="316">
        <f>E62+F62+G62</f>
        <v>100388.31000000001</v>
      </c>
      <c r="E62" s="257">
        <v>94188.32</v>
      </c>
      <c r="F62" s="257">
        <v>5019.42</v>
      </c>
      <c r="G62" s="269">
        <v>1180.57</v>
      </c>
      <c r="H62" s="316">
        <v>100388.31000000001</v>
      </c>
      <c r="I62" s="257">
        <v>94188.32</v>
      </c>
      <c r="J62" s="257">
        <v>5019.42</v>
      </c>
      <c r="K62" s="269">
        <v>1180.57</v>
      </c>
      <c r="L62" s="271" t="s">
        <v>781</v>
      </c>
      <c r="M62" s="631"/>
    </row>
    <row r="63" spans="1:13" s="9" customFormat="1" ht="33" customHeight="1" x14ac:dyDescent="0.2">
      <c r="A63" s="218">
        <v>15</v>
      </c>
      <c r="B63" s="60" t="s">
        <v>391</v>
      </c>
      <c r="C63" s="504">
        <f>SUM(C64:C66)</f>
        <v>99260.37000000001</v>
      </c>
      <c r="D63" s="40">
        <f>E63+F63+G63</f>
        <v>99260.37000000001</v>
      </c>
      <c r="E63" s="75">
        <f>SUM(E64:E66)</f>
        <v>93130.05</v>
      </c>
      <c r="F63" s="75">
        <f>SUM(F64:F66)</f>
        <v>4963.0200000000004</v>
      </c>
      <c r="G63" s="80">
        <f>SUM(G64:G66)</f>
        <v>1167.3</v>
      </c>
      <c r="H63" s="40">
        <f>I63+J63+K63</f>
        <v>99260.37000000001</v>
      </c>
      <c r="I63" s="75">
        <f>SUM(I64:I66)</f>
        <v>93130.05</v>
      </c>
      <c r="J63" s="75">
        <f>SUM(J64:J66)</f>
        <v>4963.0200000000004</v>
      </c>
      <c r="K63" s="80">
        <f>SUM(K64:K66)</f>
        <v>1167.3</v>
      </c>
      <c r="L63" s="35"/>
      <c r="M63" s="629"/>
    </row>
    <row r="64" spans="1:13" outlineLevel="1" x14ac:dyDescent="0.25">
      <c r="A64" s="10"/>
      <c r="B64" s="43" t="s">
        <v>555</v>
      </c>
      <c r="C64" s="296"/>
      <c r="D64" s="53"/>
      <c r="E64" s="11"/>
      <c r="F64" s="11"/>
      <c r="G64" s="106"/>
      <c r="H64" s="53"/>
      <c r="I64" s="11"/>
      <c r="J64" s="11"/>
      <c r="K64" s="106"/>
      <c r="L64" s="28"/>
      <c r="M64" s="630"/>
    </row>
    <row r="65" spans="1:13" outlineLevel="1" x14ac:dyDescent="0.25">
      <c r="A65" s="10"/>
      <c r="B65" s="43" t="s">
        <v>554</v>
      </c>
      <c r="C65" s="296"/>
      <c r="D65" s="53"/>
      <c r="E65" s="11"/>
      <c r="F65" s="11"/>
      <c r="G65" s="106"/>
      <c r="H65" s="53"/>
      <c r="I65" s="11"/>
      <c r="J65" s="11"/>
      <c r="K65" s="106"/>
      <c r="L65" s="28"/>
      <c r="M65" s="630"/>
    </row>
    <row r="66" spans="1:13" s="91" customFormat="1" outlineLevel="1" x14ac:dyDescent="0.25">
      <c r="A66" s="260"/>
      <c r="B66" s="261" t="s">
        <v>67</v>
      </c>
      <c r="C66" s="505">
        <v>99260.37000000001</v>
      </c>
      <c r="D66" s="316">
        <f>E66+F66+G66</f>
        <v>99260.37000000001</v>
      </c>
      <c r="E66" s="257">
        <v>93130.05</v>
      </c>
      <c r="F66" s="257">
        <v>4963.0200000000004</v>
      </c>
      <c r="G66" s="269">
        <v>1167.3</v>
      </c>
      <c r="H66" s="316">
        <f>I66+J66+K66</f>
        <v>99260.37000000001</v>
      </c>
      <c r="I66" s="257">
        <v>93130.05</v>
      </c>
      <c r="J66" s="257">
        <v>4963.0200000000004</v>
      </c>
      <c r="K66" s="269">
        <v>1167.3</v>
      </c>
      <c r="L66" s="271" t="s">
        <v>781</v>
      </c>
      <c r="M66" s="631"/>
    </row>
    <row r="67" spans="1:13" s="9" customFormat="1" ht="33" customHeight="1" x14ac:dyDescent="0.2">
      <c r="A67" s="218">
        <v>16</v>
      </c>
      <c r="B67" s="60" t="s">
        <v>56</v>
      </c>
      <c r="C67" s="504">
        <f>SUM(C68:C70)</f>
        <v>0</v>
      </c>
      <c r="D67" s="40">
        <f>E67+F67+G67</f>
        <v>0</v>
      </c>
      <c r="E67" s="75">
        <f>SUM(E68:E70)</f>
        <v>0</v>
      </c>
      <c r="F67" s="75">
        <f>SUM(F68:F70)</f>
        <v>0</v>
      </c>
      <c r="G67" s="80">
        <f>SUM(G68:G70)</f>
        <v>0</v>
      </c>
      <c r="H67" s="40">
        <f>I67+J67+K67</f>
        <v>0</v>
      </c>
      <c r="I67" s="75">
        <f>SUM(I68:I70)</f>
        <v>0</v>
      </c>
      <c r="J67" s="75">
        <f>SUM(J68:J70)</f>
        <v>0</v>
      </c>
      <c r="K67" s="80">
        <f>SUM(K68:K70)</f>
        <v>0</v>
      </c>
      <c r="L67" s="35"/>
      <c r="M67" s="629"/>
    </row>
    <row r="68" spans="1:13" outlineLevel="1" x14ac:dyDescent="0.25">
      <c r="A68" s="10"/>
      <c r="B68" s="43" t="s">
        <v>564</v>
      </c>
      <c r="C68" s="296"/>
      <c r="D68" s="53"/>
      <c r="E68" s="11"/>
      <c r="F68" s="11"/>
      <c r="G68" s="106"/>
      <c r="H68" s="53"/>
      <c r="I68" s="11"/>
      <c r="J68" s="11"/>
      <c r="K68" s="106"/>
      <c r="L68" s="28"/>
      <c r="M68" s="630"/>
    </row>
    <row r="69" spans="1:13" outlineLevel="1" x14ac:dyDescent="0.25">
      <c r="A69" s="10"/>
      <c r="B69" s="43" t="s">
        <v>554</v>
      </c>
      <c r="C69" s="296"/>
      <c r="D69" s="53"/>
      <c r="E69" s="11"/>
      <c r="F69" s="11"/>
      <c r="G69" s="106"/>
      <c r="H69" s="53"/>
      <c r="I69" s="11"/>
      <c r="J69" s="11"/>
      <c r="K69" s="106"/>
      <c r="L69" s="28"/>
      <c r="M69" s="630"/>
    </row>
    <row r="70" spans="1:13" outlineLevel="1" x14ac:dyDescent="0.25">
      <c r="A70" s="10"/>
      <c r="B70" s="43" t="s">
        <v>67</v>
      </c>
      <c r="C70" s="296"/>
      <c r="D70" s="53"/>
      <c r="E70" s="11"/>
      <c r="F70" s="11"/>
      <c r="G70" s="106"/>
      <c r="H70" s="53"/>
      <c r="I70" s="11"/>
      <c r="J70" s="11"/>
      <c r="K70" s="106"/>
      <c r="L70" s="28"/>
      <c r="M70" s="630"/>
    </row>
    <row r="71" spans="1:13" s="9" customFormat="1" ht="24" customHeight="1" x14ac:dyDescent="0.2">
      <c r="A71" s="218">
        <v>17</v>
      </c>
      <c r="B71" s="60" t="s">
        <v>57</v>
      </c>
      <c r="C71" s="504">
        <f>SUM(C72:C74)</f>
        <v>0</v>
      </c>
      <c r="D71" s="40">
        <f>E71+F71+G71</f>
        <v>0</v>
      </c>
      <c r="E71" s="75">
        <f>SUM(E72:E74)</f>
        <v>0</v>
      </c>
      <c r="F71" s="75">
        <f>SUM(F72:F74)</f>
        <v>0</v>
      </c>
      <c r="G71" s="80">
        <f>SUM(G72:G74)</f>
        <v>0</v>
      </c>
      <c r="H71" s="40">
        <f>I71+J71+K71</f>
        <v>0</v>
      </c>
      <c r="I71" s="75">
        <f>SUM(I72:I74)</f>
        <v>0</v>
      </c>
      <c r="J71" s="75">
        <f>SUM(J72:J74)</f>
        <v>0</v>
      </c>
      <c r="K71" s="80">
        <f>SUM(K72:K74)</f>
        <v>0</v>
      </c>
      <c r="L71" s="35"/>
      <c r="M71" s="629"/>
    </row>
    <row r="72" spans="1:13" outlineLevel="1" x14ac:dyDescent="0.25">
      <c r="A72" s="10"/>
      <c r="B72" s="43" t="s">
        <v>564</v>
      </c>
      <c r="C72" s="296"/>
      <c r="D72" s="53"/>
      <c r="E72" s="11"/>
      <c r="F72" s="11"/>
      <c r="G72" s="106"/>
      <c r="H72" s="53"/>
      <c r="I72" s="11"/>
      <c r="J72" s="11"/>
      <c r="K72" s="106"/>
      <c r="L72" s="28"/>
      <c r="M72" s="630"/>
    </row>
    <row r="73" spans="1:13" outlineLevel="1" x14ac:dyDescent="0.25">
      <c r="A73" s="10"/>
      <c r="B73" s="43" t="s">
        <v>554</v>
      </c>
      <c r="C73" s="296"/>
      <c r="D73" s="53"/>
      <c r="E73" s="11"/>
      <c r="F73" s="11"/>
      <c r="G73" s="106"/>
      <c r="H73" s="53"/>
      <c r="I73" s="11"/>
      <c r="J73" s="11"/>
      <c r="K73" s="106"/>
      <c r="L73" s="28"/>
      <c r="M73" s="630"/>
    </row>
    <row r="74" spans="1:13" outlineLevel="1" x14ac:dyDescent="0.25">
      <c r="A74" s="10"/>
      <c r="B74" s="43" t="s">
        <v>67</v>
      </c>
      <c r="C74" s="296"/>
      <c r="D74" s="53"/>
      <c r="E74" s="11"/>
      <c r="F74" s="11"/>
      <c r="G74" s="106"/>
      <c r="H74" s="53"/>
      <c r="I74" s="11"/>
      <c r="J74" s="11"/>
      <c r="K74" s="106"/>
      <c r="L74" s="28"/>
      <c r="M74" s="630"/>
    </row>
    <row r="75" spans="1:13" s="9" customFormat="1" ht="32.25" customHeight="1" x14ac:dyDescent="0.2">
      <c r="A75" s="218">
        <v>18</v>
      </c>
      <c r="B75" s="60" t="s">
        <v>58</v>
      </c>
      <c r="C75" s="504">
        <f>SUM(C76:C78)</f>
        <v>0</v>
      </c>
      <c r="D75" s="40">
        <f>E75+F75+G75</f>
        <v>0</v>
      </c>
      <c r="E75" s="75">
        <f>SUM(E76:E78)</f>
        <v>0</v>
      </c>
      <c r="F75" s="75">
        <f>SUM(F76:F78)</f>
        <v>0</v>
      </c>
      <c r="G75" s="80">
        <f>SUM(G76:G78)</f>
        <v>0</v>
      </c>
      <c r="H75" s="40">
        <f>I75+J75+K75</f>
        <v>0</v>
      </c>
      <c r="I75" s="75">
        <f>SUM(I76:I78)</f>
        <v>0</v>
      </c>
      <c r="J75" s="75">
        <f>SUM(J76:J78)</f>
        <v>0</v>
      </c>
      <c r="K75" s="80">
        <f>SUM(K76:K78)</f>
        <v>0</v>
      </c>
      <c r="L75" s="35"/>
      <c r="M75" s="629"/>
    </row>
    <row r="76" spans="1:13" outlineLevel="1" x14ac:dyDescent="0.25">
      <c r="A76" s="10"/>
      <c r="B76" s="43" t="s">
        <v>564</v>
      </c>
      <c r="C76" s="296"/>
      <c r="D76" s="53"/>
      <c r="E76" s="11"/>
      <c r="F76" s="11"/>
      <c r="G76" s="106"/>
      <c r="H76" s="53"/>
      <c r="I76" s="11"/>
      <c r="J76" s="11"/>
      <c r="K76" s="106"/>
      <c r="L76" s="28"/>
      <c r="M76" s="630"/>
    </row>
    <row r="77" spans="1:13" outlineLevel="1" x14ac:dyDescent="0.25">
      <c r="A77" s="10"/>
      <c r="B77" s="43" t="s">
        <v>554</v>
      </c>
      <c r="C77" s="296"/>
      <c r="D77" s="53"/>
      <c r="E77" s="11"/>
      <c r="F77" s="11"/>
      <c r="G77" s="106"/>
      <c r="H77" s="53"/>
      <c r="I77" s="11"/>
      <c r="J77" s="11"/>
      <c r="K77" s="106"/>
      <c r="L77" s="28"/>
      <c r="M77" s="630"/>
    </row>
    <row r="78" spans="1:13" outlineLevel="1" x14ac:dyDescent="0.25">
      <c r="A78" s="10"/>
      <c r="B78" s="43" t="s">
        <v>67</v>
      </c>
      <c r="C78" s="296"/>
      <c r="D78" s="53"/>
      <c r="E78" s="11"/>
      <c r="F78" s="11"/>
      <c r="G78" s="106"/>
      <c r="H78" s="53"/>
      <c r="I78" s="11"/>
      <c r="J78" s="11"/>
      <c r="K78" s="106"/>
      <c r="L78" s="28"/>
      <c r="M78" s="630"/>
    </row>
    <row r="79" spans="1:13" s="9" customFormat="1" ht="32.25" customHeight="1" x14ac:dyDescent="0.2">
      <c r="A79" s="218">
        <v>19</v>
      </c>
      <c r="B79" s="60" t="s">
        <v>381</v>
      </c>
      <c r="C79" s="504">
        <f>SUM(C80:C82)</f>
        <v>96588.26</v>
      </c>
      <c r="D79" s="40">
        <f>E79+F79+G79</f>
        <v>96588.260000000009</v>
      </c>
      <c r="E79" s="75">
        <f>SUM(E80:E82)</f>
        <v>90622.97</v>
      </c>
      <c r="F79" s="75">
        <f>SUM(F80:F82)</f>
        <v>4829.41</v>
      </c>
      <c r="G79" s="80">
        <f>SUM(G80:G82)</f>
        <v>1135.8800000000001</v>
      </c>
      <c r="H79" s="40">
        <f>I79+J79+K79</f>
        <v>96588.260000000009</v>
      </c>
      <c r="I79" s="75">
        <f>SUM(I80:I82)</f>
        <v>90622.97</v>
      </c>
      <c r="J79" s="75">
        <f>SUM(J80:J82)</f>
        <v>4829.41</v>
      </c>
      <c r="K79" s="80">
        <f>SUM(K80:K82)</f>
        <v>1135.8800000000001</v>
      </c>
      <c r="L79" s="35"/>
      <c r="M79" s="629"/>
    </row>
    <row r="80" spans="1:13" outlineLevel="1" x14ac:dyDescent="0.25">
      <c r="A80" s="10"/>
      <c r="B80" s="43" t="s">
        <v>555</v>
      </c>
      <c r="C80" s="296"/>
      <c r="D80" s="53"/>
      <c r="E80" s="11"/>
      <c r="F80" s="11"/>
      <c r="G80" s="106"/>
      <c r="H80" s="53"/>
      <c r="I80" s="11"/>
      <c r="J80" s="11"/>
      <c r="K80" s="106"/>
      <c r="L80" s="28"/>
      <c r="M80" s="630"/>
    </row>
    <row r="81" spans="1:13" outlineLevel="1" x14ac:dyDescent="0.25">
      <c r="A81" s="10"/>
      <c r="B81" s="43" t="s">
        <v>554</v>
      </c>
      <c r="C81" s="296"/>
      <c r="D81" s="53"/>
      <c r="E81" s="11"/>
      <c r="F81" s="11"/>
      <c r="G81" s="106"/>
      <c r="H81" s="53"/>
      <c r="I81" s="11"/>
      <c r="J81" s="11"/>
      <c r="K81" s="106"/>
      <c r="L81" s="28"/>
      <c r="M81" s="630"/>
    </row>
    <row r="82" spans="1:13" s="91" customFormat="1" outlineLevel="1" x14ac:dyDescent="0.25">
      <c r="A82" s="260"/>
      <c r="B82" s="261" t="s">
        <v>67</v>
      </c>
      <c r="C82" s="505">
        <v>96588.26</v>
      </c>
      <c r="D82" s="316">
        <f>E82+F82+G82</f>
        <v>96588.260000000009</v>
      </c>
      <c r="E82" s="257">
        <v>90622.97</v>
      </c>
      <c r="F82" s="257">
        <v>4829.41</v>
      </c>
      <c r="G82" s="269">
        <v>1135.8800000000001</v>
      </c>
      <c r="H82" s="316">
        <v>96588.260000000009</v>
      </c>
      <c r="I82" s="257">
        <v>90622.97</v>
      </c>
      <c r="J82" s="257">
        <v>4829.41</v>
      </c>
      <c r="K82" s="269">
        <v>1135.8800000000001</v>
      </c>
      <c r="L82" s="271" t="s">
        <v>781</v>
      </c>
      <c r="M82" s="631"/>
    </row>
    <row r="83" spans="1:13" s="395" customFormat="1" ht="33" customHeight="1" x14ac:dyDescent="0.2">
      <c r="A83" s="391">
        <v>20</v>
      </c>
      <c r="B83" s="392" t="s">
        <v>601</v>
      </c>
      <c r="C83" s="568">
        <f>SUM(C84:C85)</f>
        <v>6341290.0800000001</v>
      </c>
      <c r="D83" s="288">
        <f>E83+F83+G83</f>
        <v>6341290.0800000001</v>
      </c>
      <c r="E83" s="289">
        <f>SUM(E84:E85)</f>
        <v>4935109</v>
      </c>
      <c r="F83" s="289">
        <f>SUM(F84:F85)</f>
        <v>63412.899999999994</v>
      </c>
      <c r="G83" s="247">
        <f>SUM(G84:G85)</f>
        <v>1342768.18</v>
      </c>
      <c r="H83" s="288">
        <f>I83+J83+K83</f>
        <v>6341290.0800000001</v>
      </c>
      <c r="I83" s="289">
        <f>SUM(I84:I85)</f>
        <v>4935109</v>
      </c>
      <c r="J83" s="289">
        <f>SUM(J84:J85)</f>
        <v>63412.899999999994</v>
      </c>
      <c r="K83" s="247">
        <f>SUM(K84:K85)</f>
        <v>1342768.18</v>
      </c>
      <c r="L83" s="400"/>
      <c r="M83" s="664"/>
    </row>
    <row r="84" spans="1:13" s="91" customFormat="1" outlineLevel="1" x14ac:dyDescent="0.25">
      <c r="A84" s="260"/>
      <c r="B84" s="261" t="s">
        <v>555</v>
      </c>
      <c r="C84" s="505">
        <v>6243761.1399999997</v>
      </c>
      <c r="D84" s="316">
        <f>SUM(E84:G84)</f>
        <v>6243761.1400000006</v>
      </c>
      <c r="E84" s="257">
        <v>4843603.45</v>
      </c>
      <c r="F84" s="257">
        <v>58536.45</v>
      </c>
      <c r="G84" s="269">
        <v>1341621.24</v>
      </c>
      <c r="H84" s="316">
        <f>SUM(I84:K84)</f>
        <v>6243761.1400000006</v>
      </c>
      <c r="I84" s="257">
        <v>4843603.45</v>
      </c>
      <c r="J84" s="257">
        <v>58536.45</v>
      </c>
      <c r="K84" s="269">
        <v>1341621.24</v>
      </c>
      <c r="L84" s="271" t="s">
        <v>831</v>
      </c>
      <c r="M84" s="631" t="s">
        <v>838</v>
      </c>
    </row>
    <row r="85" spans="1:13" s="91" customFormat="1" outlineLevel="1" x14ac:dyDescent="0.25">
      <c r="A85" s="260"/>
      <c r="B85" s="261" t="s">
        <v>67</v>
      </c>
      <c r="C85" s="505">
        <v>97528.94</v>
      </c>
      <c r="D85" s="316">
        <f>E85+F85+G85</f>
        <v>97528.94</v>
      </c>
      <c r="E85" s="257">
        <v>91505.55</v>
      </c>
      <c r="F85" s="257">
        <v>4876.45</v>
      </c>
      <c r="G85" s="269">
        <v>1146.94</v>
      </c>
      <c r="H85" s="316">
        <v>97528.94</v>
      </c>
      <c r="I85" s="257">
        <v>91505.55</v>
      </c>
      <c r="J85" s="257">
        <v>4876.45</v>
      </c>
      <c r="K85" s="269">
        <v>1146.94</v>
      </c>
      <c r="L85" s="271" t="s">
        <v>781</v>
      </c>
      <c r="M85" s="631"/>
    </row>
    <row r="86" spans="1:13" s="9" customFormat="1" ht="36" customHeight="1" x14ac:dyDescent="0.2">
      <c r="A86" s="218">
        <v>21</v>
      </c>
      <c r="B86" s="60" t="s">
        <v>602</v>
      </c>
      <c r="C86" s="504">
        <f>SUM(C87:C90)</f>
        <v>110086.11</v>
      </c>
      <c r="D86" s="40">
        <f>E86+F86+G86</f>
        <v>110086.11</v>
      </c>
      <c r="E86" s="75">
        <f>SUM(E87:E90)</f>
        <v>103287.19</v>
      </c>
      <c r="F86" s="75">
        <f>SUM(F87:F90)</f>
        <v>5504.31</v>
      </c>
      <c r="G86" s="80">
        <f>SUM(G87:G90)</f>
        <v>1294.6099999999999</v>
      </c>
      <c r="H86" s="40">
        <f>I86+J86+K86</f>
        <v>110086.11</v>
      </c>
      <c r="I86" s="75">
        <f>SUM(I87:I90)</f>
        <v>103287.19</v>
      </c>
      <c r="J86" s="75">
        <f>SUM(J87:J90)</f>
        <v>5504.31</v>
      </c>
      <c r="K86" s="80">
        <f>SUM(K87:K90)</f>
        <v>1294.6099999999999</v>
      </c>
      <c r="L86" s="35"/>
      <c r="M86" s="629"/>
    </row>
    <row r="87" spans="1:13" outlineLevel="1" x14ac:dyDescent="0.25">
      <c r="A87" s="10"/>
      <c r="B87" s="43" t="s">
        <v>64</v>
      </c>
      <c r="C87" s="296"/>
      <c r="D87" s="53"/>
      <c r="E87" s="11"/>
      <c r="F87" s="11"/>
      <c r="G87" s="106"/>
      <c r="H87" s="53"/>
      <c r="I87" s="11"/>
      <c r="J87" s="11"/>
      <c r="K87" s="106"/>
      <c r="L87" s="28"/>
      <c r="M87" s="630"/>
    </row>
    <row r="88" spans="1:13" outlineLevel="1" x14ac:dyDescent="0.25">
      <c r="A88" s="10"/>
      <c r="B88" s="43" t="s">
        <v>66</v>
      </c>
      <c r="C88" s="296"/>
      <c r="D88" s="53"/>
      <c r="E88" s="11"/>
      <c r="F88" s="11"/>
      <c r="G88" s="106"/>
      <c r="H88" s="53"/>
      <c r="I88" s="11"/>
      <c r="J88" s="11"/>
      <c r="K88" s="106"/>
      <c r="L88" s="28"/>
      <c r="M88" s="630"/>
    </row>
    <row r="89" spans="1:13" outlineLevel="1" x14ac:dyDescent="0.25">
      <c r="A89" s="10"/>
      <c r="B89" s="43" t="s">
        <v>554</v>
      </c>
      <c r="C89" s="296"/>
      <c r="D89" s="53"/>
      <c r="E89" s="11"/>
      <c r="F89" s="11"/>
      <c r="G89" s="106"/>
      <c r="H89" s="53"/>
      <c r="I89" s="11"/>
      <c r="J89" s="11"/>
      <c r="K89" s="106"/>
      <c r="L89" s="28"/>
      <c r="M89" s="630"/>
    </row>
    <row r="90" spans="1:13" s="91" customFormat="1" outlineLevel="1" x14ac:dyDescent="0.25">
      <c r="A90" s="260"/>
      <c r="B90" s="261" t="s">
        <v>67</v>
      </c>
      <c r="C90" s="505">
        <v>110086.11</v>
      </c>
      <c r="D90" s="316">
        <f>E90+F90+G90</f>
        <v>110086.11</v>
      </c>
      <c r="E90" s="257">
        <v>103287.19</v>
      </c>
      <c r="F90" s="257">
        <v>5504.31</v>
      </c>
      <c r="G90" s="269">
        <v>1294.6099999999999</v>
      </c>
      <c r="H90" s="316">
        <f>I90+J90+K90</f>
        <v>110086.11</v>
      </c>
      <c r="I90" s="257">
        <v>103287.19</v>
      </c>
      <c r="J90" s="257">
        <v>5504.31</v>
      </c>
      <c r="K90" s="269">
        <v>1294.6099999999999</v>
      </c>
      <c r="L90" s="271" t="s">
        <v>781</v>
      </c>
      <c r="M90" s="631"/>
    </row>
    <row r="91" spans="1:13" s="9" customFormat="1" ht="26.25" customHeight="1" x14ac:dyDescent="0.2">
      <c r="A91" s="218">
        <v>22</v>
      </c>
      <c r="B91" s="60" t="s">
        <v>382</v>
      </c>
      <c r="C91" s="504">
        <f>SUM(C92:C94)</f>
        <v>72266.69</v>
      </c>
      <c r="D91" s="40">
        <f>E91+F91+G91</f>
        <v>72266.69</v>
      </c>
      <c r="E91" s="75">
        <f>SUM(E92:E94)</f>
        <v>67803.5</v>
      </c>
      <c r="F91" s="75">
        <f>SUM(F92:F94)</f>
        <v>3613.33</v>
      </c>
      <c r="G91" s="80">
        <f>SUM(G92:G94)</f>
        <v>849.86</v>
      </c>
      <c r="H91" s="40">
        <f>I91+J91+K91</f>
        <v>72266.69</v>
      </c>
      <c r="I91" s="75">
        <f>SUM(I92:I94)</f>
        <v>67803.5</v>
      </c>
      <c r="J91" s="75">
        <f>SUM(J92:J94)</f>
        <v>3613.33</v>
      </c>
      <c r="K91" s="80">
        <f>SUM(K92:K94)</f>
        <v>849.86</v>
      </c>
      <c r="L91" s="35"/>
      <c r="M91" s="629"/>
    </row>
    <row r="92" spans="1:13" outlineLevel="1" x14ac:dyDescent="0.25">
      <c r="A92" s="10"/>
      <c r="B92" s="43" t="s">
        <v>555</v>
      </c>
      <c r="C92" s="296"/>
      <c r="D92" s="53"/>
      <c r="E92" s="11"/>
      <c r="F92" s="11"/>
      <c r="G92" s="106"/>
      <c r="H92" s="53"/>
      <c r="I92" s="11"/>
      <c r="J92" s="11"/>
      <c r="K92" s="106"/>
      <c r="L92" s="28"/>
      <c r="M92" s="630"/>
    </row>
    <row r="93" spans="1:13" outlineLevel="1" x14ac:dyDescent="0.25">
      <c r="A93" s="10"/>
      <c r="B93" s="43" t="s">
        <v>554</v>
      </c>
      <c r="C93" s="296"/>
      <c r="D93" s="53"/>
      <c r="E93" s="11"/>
      <c r="F93" s="11"/>
      <c r="G93" s="106"/>
      <c r="H93" s="53"/>
      <c r="I93" s="11"/>
      <c r="J93" s="11"/>
      <c r="K93" s="106"/>
      <c r="L93" s="28"/>
      <c r="M93" s="630"/>
    </row>
    <row r="94" spans="1:13" s="91" customFormat="1" outlineLevel="1" x14ac:dyDescent="0.25">
      <c r="A94" s="260"/>
      <c r="B94" s="261" t="s">
        <v>67</v>
      </c>
      <c r="C94" s="505">
        <v>72266.69</v>
      </c>
      <c r="D94" s="316">
        <f>E94+F94+G94</f>
        <v>72266.69</v>
      </c>
      <c r="E94" s="257">
        <v>67803.5</v>
      </c>
      <c r="F94" s="257">
        <v>3613.33</v>
      </c>
      <c r="G94" s="269">
        <v>849.86</v>
      </c>
      <c r="H94" s="316">
        <v>72266.69</v>
      </c>
      <c r="I94" s="257">
        <v>67803.5</v>
      </c>
      <c r="J94" s="257">
        <v>3613.33</v>
      </c>
      <c r="K94" s="269">
        <v>849.86</v>
      </c>
      <c r="L94" s="271" t="s">
        <v>781</v>
      </c>
      <c r="M94" s="631"/>
    </row>
    <row r="95" spans="1:13" s="9" customFormat="1" ht="41.25" customHeight="1" x14ac:dyDescent="0.2">
      <c r="A95" s="218">
        <v>23</v>
      </c>
      <c r="B95" s="60" t="s">
        <v>383</v>
      </c>
      <c r="C95" s="504">
        <f>SUM(C96:C98)</f>
        <v>99635.72</v>
      </c>
      <c r="D95" s="40">
        <f>E95+F95+G95</f>
        <v>99635.72</v>
      </c>
      <c r="E95" s="75">
        <f>SUM(E96:E98)</f>
        <v>93482.21</v>
      </c>
      <c r="F95" s="75">
        <f>SUM(F96:F98)</f>
        <v>4981.79</v>
      </c>
      <c r="G95" s="80">
        <f>SUM(G96:G98)</f>
        <v>1171.72</v>
      </c>
      <c r="H95" s="40">
        <f>I95+J95+K95</f>
        <v>99635.72</v>
      </c>
      <c r="I95" s="75">
        <f>SUM(I96:I98)</f>
        <v>93482.21</v>
      </c>
      <c r="J95" s="75">
        <f>SUM(J96:J98)</f>
        <v>4981.79</v>
      </c>
      <c r="K95" s="80">
        <f>SUM(K96:K98)</f>
        <v>1171.72</v>
      </c>
      <c r="L95" s="35"/>
      <c r="M95" s="629"/>
    </row>
    <row r="96" spans="1:13" outlineLevel="1" x14ac:dyDescent="0.25">
      <c r="A96" s="10"/>
      <c r="B96" s="43" t="s">
        <v>555</v>
      </c>
      <c r="C96" s="296"/>
      <c r="D96" s="53"/>
      <c r="E96" s="11"/>
      <c r="F96" s="11"/>
      <c r="G96" s="106"/>
      <c r="H96" s="53"/>
      <c r="I96" s="11"/>
      <c r="J96" s="11"/>
      <c r="K96" s="106"/>
      <c r="L96" s="28"/>
      <c r="M96" s="630"/>
    </row>
    <row r="97" spans="1:13" outlineLevel="1" x14ac:dyDescent="0.25">
      <c r="A97" s="10"/>
      <c r="B97" s="43" t="s">
        <v>554</v>
      </c>
      <c r="C97" s="296"/>
      <c r="D97" s="53"/>
      <c r="E97" s="11"/>
      <c r="F97" s="11"/>
      <c r="G97" s="106"/>
      <c r="H97" s="53"/>
      <c r="I97" s="11"/>
      <c r="J97" s="11"/>
      <c r="K97" s="106"/>
      <c r="L97" s="28"/>
      <c r="M97" s="630"/>
    </row>
    <row r="98" spans="1:13" s="91" customFormat="1" outlineLevel="1" x14ac:dyDescent="0.25">
      <c r="A98" s="260"/>
      <c r="B98" s="261" t="s">
        <v>67</v>
      </c>
      <c r="C98" s="505">
        <v>99635.72</v>
      </c>
      <c r="D98" s="316">
        <f>E98+F98+G98</f>
        <v>99635.72</v>
      </c>
      <c r="E98" s="257">
        <v>93482.21</v>
      </c>
      <c r="F98" s="257">
        <v>4981.79</v>
      </c>
      <c r="G98" s="269">
        <v>1171.72</v>
      </c>
      <c r="H98" s="316">
        <v>99635.72</v>
      </c>
      <c r="I98" s="257">
        <v>93482.21</v>
      </c>
      <c r="J98" s="257">
        <v>4981.79</v>
      </c>
      <c r="K98" s="269">
        <v>1171.72</v>
      </c>
      <c r="L98" s="271" t="s">
        <v>781</v>
      </c>
      <c r="M98" s="631"/>
    </row>
    <row r="99" spans="1:13" s="9" customFormat="1" ht="29.25" customHeight="1" x14ac:dyDescent="0.2">
      <c r="A99" s="218">
        <v>24</v>
      </c>
      <c r="B99" s="60" t="s">
        <v>603</v>
      </c>
      <c r="C99" s="504">
        <f>SUM(C100:C104)</f>
        <v>99822.19</v>
      </c>
      <c r="D99" s="40">
        <f>E99+F99+G99</f>
        <v>99822.19</v>
      </c>
      <c r="E99" s="75">
        <f>SUM(E100:E104)</f>
        <v>93657.17</v>
      </c>
      <c r="F99" s="75">
        <f>SUM(F100:F104)</f>
        <v>4991.1099999999997</v>
      </c>
      <c r="G99" s="80">
        <f>SUM(G100:G104)</f>
        <v>1173.9100000000001</v>
      </c>
      <c r="H99" s="40">
        <f>I99+J99+K99</f>
        <v>99822.19</v>
      </c>
      <c r="I99" s="75">
        <f>SUM(I100:I104)</f>
        <v>93657.17</v>
      </c>
      <c r="J99" s="75">
        <f>SUM(J100:J104)</f>
        <v>4991.1099999999997</v>
      </c>
      <c r="K99" s="80">
        <f>SUM(K100:K104)</f>
        <v>1173.9100000000001</v>
      </c>
      <c r="L99" s="35"/>
      <c r="M99" s="629"/>
    </row>
    <row r="100" spans="1:13" outlineLevel="1" x14ac:dyDescent="0.25">
      <c r="A100" s="10"/>
      <c r="B100" s="43" t="s">
        <v>64</v>
      </c>
      <c r="C100" s="296"/>
      <c r="D100" s="53"/>
      <c r="E100" s="11"/>
      <c r="F100" s="11"/>
      <c r="G100" s="106"/>
      <c r="H100" s="53"/>
      <c r="I100" s="11"/>
      <c r="J100" s="11"/>
      <c r="K100" s="106"/>
      <c r="L100" s="28"/>
      <c r="M100" s="630"/>
    </row>
    <row r="101" spans="1:13" outlineLevel="1" x14ac:dyDescent="0.25">
      <c r="A101" s="10"/>
      <c r="B101" s="43" t="s">
        <v>65</v>
      </c>
      <c r="C101" s="296"/>
      <c r="D101" s="53"/>
      <c r="E101" s="11"/>
      <c r="F101" s="11"/>
      <c r="G101" s="106"/>
      <c r="H101" s="53"/>
      <c r="I101" s="11"/>
      <c r="J101" s="11"/>
      <c r="K101" s="106"/>
      <c r="L101" s="28"/>
      <c r="M101" s="630"/>
    </row>
    <row r="102" spans="1:13" outlineLevel="1" x14ac:dyDescent="0.25">
      <c r="A102" s="10"/>
      <c r="B102" s="43" t="s">
        <v>66</v>
      </c>
      <c r="C102" s="296"/>
      <c r="D102" s="53"/>
      <c r="E102" s="11"/>
      <c r="F102" s="11"/>
      <c r="G102" s="106"/>
      <c r="H102" s="53"/>
      <c r="I102" s="11"/>
      <c r="J102" s="11"/>
      <c r="K102" s="106"/>
      <c r="L102" s="28"/>
      <c r="M102" s="630"/>
    </row>
    <row r="103" spans="1:13" outlineLevel="1" x14ac:dyDescent="0.25">
      <c r="A103" s="10"/>
      <c r="B103" s="43" t="s">
        <v>554</v>
      </c>
      <c r="C103" s="296"/>
      <c r="D103" s="53"/>
      <c r="E103" s="11"/>
      <c r="F103" s="11"/>
      <c r="G103" s="106"/>
      <c r="H103" s="53"/>
      <c r="I103" s="11"/>
      <c r="J103" s="11"/>
      <c r="K103" s="106"/>
      <c r="L103" s="28"/>
      <c r="M103" s="630"/>
    </row>
    <row r="104" spans="1:13" s="91" customFormat="1" x14ac:dyDescent="0.25">
      <c r="A104" s="260"/>
      <c r="B104" s="261" t="s">
        <v>67</v>
      </c>
      <c r="C104" s="505">
        <v>99822.19</v>
      </c>
      <c r="D104" s="316">
        <f>E104+F104+G104</f>
        <v>99822.19</v>
      </c>
      <c r="E104" s="257">
        <v>93657.17</v>
      </c>
      <c r="F104" s="257">
        <v>4991.1099999999997</v>
      </c>
      <c r="G104" s="269">
        <v>1173.9100000000001</v>
      </c>
      <c r="H104" s="316">
        <f>I104+J104+K104</f>
        <v>99822.19</v>
      </c>
      <c r="I104" s="257">
        <v>93657.17</v>
      </c>
      <c r="J104" s="257">
        <v>4991.1099999999997</v>
      </c>
      <c r="K104" s="269">
        <v>1173.9100000000001</v>
      </c>
      <c r="L104" s="271" t="s">
        <v>781</v>
      </c>
      <c r="M104" s="631"/>
    </row>
    <row r="105" spans="1:13" s="9" customFormat="1" ht="30" customHeight="1" x14ac:dyDescent="0.2">
      <c r="A105" s="218">
        <v>25</v>
      </c>
      <c r="B105" s="60" t="s">
        <v>384</v>
      </c>
      <c r="C105" s="504">
        <f>SUM(C106:C108)</f>
        <v>99240.68</v>
      </c>
      <c r="D105" s="40">
        <f>E105+F105+G105</f>
        <v>99240.680000000008</v>
      </c>
      <c r="E105" s="75">
        <f>SUM(E106:E108)</f>
        <v>93111.58</v>
      </c>
      <c r="F105" s="75">
        <f>SUM(F106:F108)</f>
        <v>4962.03</v>
      </c>
      <c r="G105" s="80">
        <f>SUM(G106:G108)</f>
        <v>1167.07</v>
      </c>
      <c r="H105" s="40">
        <f>I105+J105+K105</f>
        <v>99240.680000000008</v>
      </c>
      <c r="I105" s="75">
        <f>SUM(I106:I108)</f>
        <v>93111.58</v>
      </c>
      <c r="J105" s="75">
        <f>SUM(J106:J108)</f>
        <v>4962.03</v>
      </c>
      <c r="K105" s="80">
        <f>SUM(K106:K108)</f>
        <v>1167.07</v>
      </c>
      <c r="L105" s="35"/>
      <c r="M105" s="629"/>
    </row>
    <row r="106" spans="1:13" outlineLevel="1" x14ac:dyDescent="0.25">
      <c r="A106" s="10"/>
      <c r="B106" s="43" t="s">
        <v>555</v>
      </c>
      <c r="C106" s="296"/>
      <c r="D106" s="53"/>
      <c r="E106" s="11"/>
      <c r="F106" s="11"/>
      <c r="G106" s="106"/>
      <c r="H106" s="53"/>
      <c r="I106" s="11"/>
      <c r="J106" s="11"/>
      <c r="K106" s="106"/>
      <c r="L106" s="28"/>
      <c r="M106" s="630"/>
    </row>
    <row r="107" spans="1:13" outlineLevel="1" x14ac:dyDescent="0.25">
      <c r="A107" s="10"/>
      <c r="B107" s="43" t="s">
        <v>554</v>
      </c>
      <c r="C107" s="296"/>
      <c r="D107" s="53"/>
      <c r="E107" s="11"/>
      <c r="F107" s="11"/>
      <c r="G107" s="106"/>
      <c r="H107" s="53"/>
      <c r="I107" s="11"/>
      <c r="J107" s="11"/>
      <c r="K107" s="106"/>
      <c r="L107" s="28"/>
      <c r="M107" s="630"/>
    </row>
    <row r="108" spans="1:13" s="91" customFormat="1" outlineLevel="1" x14ac:dyDescent="0.25">
      <c r="A108" s="260"/>
      <c r="B108" s="261" t="s">
        <v>67</v>
      </c>
      <c r="C108" s="505">
        <v>99240.68</v>
      </c>
      <c r="D108" s="316">
        <f>E108+F108+G108</f>
        <v>99240.680000000008</v>
      </c>
      <c r="E108" s="257">
        <v>93111.58</v>
      </c>
      <c r="F108" s="257">
        <v>4962.03</v>
      </c>
      <c r="G108" s="269">
        <v>1167.07</v>
      </c>
      <c r="H108" s="316">
        <v>99240.680000000008</v>
      </c>
      <c r="I108" s="257">
        <v>93111.58</v>
      </c>
      <c r="J108" s="257">
        <v>4962.03</v>
      </c>
      <c r="K108" s="269">
        <v>1167.07</v>
      </c>
      <c r="L108" s="271" t="s">
        <v>781</v>
      </c>
      <c r="M108" s="631"/>
    </row>
    <row r="109" spans="1:13" s="9" customFormat="1" ht="36" customHeight="1" x14ac:dyDescent="0.2">
      <c r="A109" s="218">
        <v>26</v>
      </c>
      <c r="B109" s="60" t="s">
        <v>385</v>
      </c>
      <c r="C109" s="504">
        <f>SUM(C110:C112)</f>
        <v>99540.25</v>
      </c>
      <c r="D109" s="40">
        <f>E109+F109+G109</f>
        <v>99540.249999999985</v>
      </c>
      <c r="E109" s="75">
        <f>SUM(E110:E112)</f>
        <v>93392.65</v>
      </c>
      <c r="F109" s="75">
        <f>SUM(F110:F112)</f>
        <v>4977.01</v>
      </c>
      <c r="G109" s="80">
        <f>SUM(G110:G112)</f>
        <v>1170.5899999999999</v>
      </c>
      <c r="H109" s="40">
        <f>I109+J109+K109</f>
        <v>99540.249999999985</v>
      </c>
      <c r="I109" s="75">
        <f>SUM(I110:I112)</f>
        <v>93392.65</v>
      </c>
      <c r="J109" s="75">
        <f>SUM(J110:J112)</f>
        <v>4977.01</v>
      </c>
      <c r="K109" s="80">
        <f>SUM(K110:K112)</f>
        <v>1170.5899999999999</v>
      </c>
      <c r="L109" s="35"/>
      <c r="M109" s="629"/>
    </row>
    <row r="110" spans="1:13" outlineLevel="1" x14ac:dyDescent="0.25">
      <c r="A110" s="10"/>
      <c r="B110" s="43" t="s">
        <v>555</v>
      </c>
      <c r="C110" s="296"/>
      <c r="D110" s="53"/>
      <c r="E110" s="11"/>
      <c r="F110" s="11"/>
      <c r="G110" s="106"/>
      <c r="H110" s="53"/>
      <c r="I110" s="11"/>
      <c r="J110" s="11"/>
      <c r="K110" s="106"/>
      <c r="L110" s="28"/>
      <c r="M110" s="630"/>
    </row>
    <row r="111" spans="1:13" outlineLevel="1" x14ac:dyDescent="0.25">
      <c r="A111" s="10"/>
      <c r="B111" s="43" t="s">
        <v>554</v>
      </c>
      <c r="C111" s="296"/>
      <c r="D111" s="53"/>
      <c r="E111" s="11"/>
      <c r="F111" s="11"/>
      <c r="G111" s="106"/>
      <c r="H111" s="53"/>
      <c r="I111" s="11"/>
      <c r="J111" s="11"/>
      <c r="K111" s="106"/>
      <c r="L111" s="28"/>
      <c r="M111" s="630"/>
    </row>
    <row r="112" spans="1:13" s="91" customFormat="1" outlineLevel="1" x14ac:dyDescent="0.25">
      <c r="A112" s="260"/>
      <c r="B112" s="261" t="s">
        <v>67</v>
      </c>
      <c r="C112" s="505">
        <v>99540.25</v>
      </c>
      <c r="D112" s="316">
        <f>E112+F112+G112</f>
        <v>99540.249999999985</v>
      </c>
      <c r="E112" s="257">
        <v>93392.65</v>
      </c>
      <c r="F112" s="257">
        <v>4977.01</v>
      </c>
      <c r="G112" s="269">
        <v>1170.5899999999999</v>
      </c>
      <c r="H112" s="316">
        <v>99540.249999999985</v>
      </c>
      <c r="I112" s="257">
        <v>93392.65</v>
      </c>
      <c r="J112" s="257">
        <v>4977.01</v>
      </c>
      <c r="K112" s="269">
        <v>1170.5899999999999</v>
      </c>
      <c r="L112" s="271" t="s">
        <v>781</v>
      </c>
      <c r="M112" s="631"/>
    </row>
    <row r="113" spans="1:13" s="9" customFormat="1" ht="30.75" customHeight="1" x14ac:dyDescent="0.2">
      <c r="A113" s="218">
        <v>27</v>
      </c>
      <c r="B113" s="60" t="s">
        <v>377</v>
      </c>
      <c r="C113" s="504">
        <f>SUM(C114:C118)</f>
        <v>175960.1</v>
      </c>
      <c r="D113" s="40">
        <f>E113+F113+G113</f>
        <v>175960.1</v>
      </c>
      <c r="E113" s="75">
        <f>SUM(E114:E118)</f>
        <v>165092.79999999999</v>
      </c>
      <c r="F113" s="75">
        <f>SUM(F114:F118)</f>
        <v>8798.01</v>
      </c>
      <c r="G113" s="80">
        <f>SUM(G114:G118)</f>
        <v>2069.29</v>
      </c>
      <c r="H113" s="40">
        <f>I113+J113+K113</f>
        <v>175960.1</v>
      </c>
      <c r="I113" s="75">
        <f>SUM(I114:I118)</f>
        <v>165092.79999999999</v>
      </c>
      <c r="J113" s="75">
        <f>SUM(J114:J118)</f>
        <v>8798.01</v>
      </c>
      <c r="K113" s="80">
        <f>SUM(K114:K118)</f>
        <v>2069.29</v>
      </c>
      <c r="L113" s="35"/>
      <c r="M113" s="629"/>
    </row>
    <row r="114" spans="1:13" outlineLevel="1" x14ac:dyDescent="0.25">
      <c r="A114" s="10"/>
      <c r="B114" s="43" t="s">
        <v>64</v>
      </c>
      <c r="C114" s="296"/>
      <c r="D114" s="53"/>
      <c r="E114" s="11"/>
      <c r="F114" s="11"/>
      <c r="G114" s="106"/>
      <c r="H114" s="53"/>
      <c r="I114" s="11"/>
      <c r="J114" s="11"/>
      <c r="K114" s="106"/>
      <c r="L114" s="28"/>
      <c r="M114" s="630"/>
    </row>
    <row r="115" spans="1:13" outlineLevel="1" x14ac:dyDescent="0.25">
      <c r="A115" s="10"/>
      <c r="B115" s="43" t="s">
        <v>65</v>
      </c>
      <c r="C115" s="296"/>
      <c r="D115" s="53"/>
      <c r="E115" s="11"/>
      <c r="F115" s="11"/>
      <c r="G115" s="106"/>
      <c r="H115" s="53"/>
      <c r="I115" s="11"/>
      <c r="J115" s="11"/>
      <c r="K115" s="106"/>
      <c r="L115" s="28"/>
      <c r="M115" s="630"/>
    </row>
    <row r="116" spans="1:13" outlineLevel="1" x14ac:dyDescent="0.25">
      <c r="A116" s="10"/>
      <c r="B116" s="43" t="s">
        <v>66</v>
      </c>
      <c r="C116" s="296"/>
      <c r="D116" s="53"/>
      <c r="E116" s="11"/>
      <c r="F116" s="11"/>
      <c r="G116" s="106"/>
      <c r="H116" s="53"/>
      <c r="I116" s="11"/>
      <c r="J116" s="11"/>
      <c r="K116" s="106"/>
      <c r="L116" s="28"/>
      <c r="M116" s="630"/>
    </row>
    <row r="117" spans="1:13" outlineLevel="1" x14ac:dyDescent="0.25">
      <c r="A117" s="10"/>
      <c r="B117" s="43" t="s">
        <v>554</v>
      </c>
      <c r="C117" s="296"/>
      <c r="D117" s="53"/>
      <c r="E117" s="11"/>
      <c r="F117" s="11"/>
      <c r="G117" s="106"/>
      <c r="H117" s="53"/>
      <c r="I117" s="11"/>
      <c r="J117" s="11"/>
      <c r="K117" s="106"/>
      <c r="L117" s="28"/>
      <c r="M117" s="630"/>
    </row>
    <row r="118" spans="1:13" s="91" customFormat="1" outlineLevel="1" x14ac:dyDescent="0.25">
      <c r="A118" s="260"/>
      <c r="B118" s="261" t="s">
        <v>67</v>
      </c>
      <c r="C118" s="505">
        <v>175960.1</v>
      </c>
      <c r="D118" s="316">
        <f>E118+F118+G118</f>
        <v>175960.1</v>
      </c>
      <c r="E118" s="257">
        <v>165092.79999999999</v>
      </c>
      <c r="F118" s="257">
        <v>8798.01</v>
      </c>
      <c r="G118" s="269">
        <v>2069.29</v>
      </c>
      <c r="H118" s="316">
        <f>I118+J118+K118</f>
        <v>175960.1</v>
      </c>
      <c r="I118" s="257">
        <v>165092.79999999999</v>
      </c>
      <c r="J118" s="257">
        <v>8798.01</v>
      </c>
      <c r="K118" s="269">
        <v>2069.29</v>
      </c>
      <c r="L118" s="271" t="s">
        <v>781</v>
      </c>
      <c r="M118" s="631"/>
    </row>
    <row r="119" spans="1:13" s="9" customFormat="1" ht="29.25" customHeight="1" outlineLevel="1" x14ac:dyDescent="0.2">
      <c r="A119" s="295">
        <v>28</v>
      </c>
      <c r="B119" s="60" t="s">
        <v>628</v>
      </c>
      <c r="C119" s="504">
        <f>SUM(C120:C124)</f>
        <v>0</v>
      </c>
      <c r="D119" s="40">
        <f>E119+F119+G119</f>
        <v>0</v>
      </c>
      <c r="E119" s="75">
        <f>SUM(E120:E124)</f>
        <v>0</v>
      </c>
      <c r="F119" s="75">
        <f t="shared" ref="F119" si="1">SUM(F120:F124)</f>
        <v>0</v>
      </c>
      <c r="G119" s="75">
        <f t="shared" ref="G119" si="2">SUM(G120:G124)</f>
        <v>0</v>
      </c>
      <c r="H119" s="40">
        <f>I119+J119+K119</f>
        <v>0</v>
      </c>
      <c r="I119" s="75">
        <f>SUM(I120:I124)</f>
        <v>0</v>
      </c>
      <c r="J119" s="75">
        <f t="shared" ref="J119" si="3">SUM(J120:J124)</f>
        <v>0</v>
      </c>
      <c r="K119" s="75">
        <f t="shared" ref="K119" si="4">SUM(K120:K124)</f>
        <v>0</v>
      </c>
      <c r="L119" s="35"/>
      <c r="M119" s="629"/>
    </row>
    <row r="120" spans="1:13" outlineLevel="1" x14ac:dyDescent="0.25">
      <c r="A120" s="10"/>
      <c r="B120" s="43" t="s">
        <v>64</v>
      </c>
      <c r="C120" s="296"/>
      <c r="D120" s="53"/>
      <c r="E120" s="639"/>
      <c r="F120" s="639"/>
      <c r="G120" s="639"/>
      <c r="H120" s="53"/>
      <c r="I120" s="639"/>
      <c r="J120" s="639"/>
      <c r="K120" s="639"/>
      <c r="L120" s="28"/>
      <c r="M120" s="630"/>
    </row>
    <row r="121" spans="1:13" outlineLevel="1" x14ac:dyDescent="0.25">
      <c r="A121" s="10"/>
      <c r="B121" s="43" t="s">
        <v>65</v>
      </c>
      <c r="C121" s="296"/>
      <c r="D121" s="53"/>
      <c r="E121" s="639"/>
      <c r="F121" s="639"/>
      <c r="G121" s="639"/>
      <c r="H121" s="53"/>
      <c r="I121" s="639"/>
      <c r="J121" s="639"/>
      <c r="K121" s="639"/>
      <c r="L121" s="28"/>
      <c r="M121" s="630"/>
    </row>
    <row r="122" spans="1:13" outlineLevel="1" x14ac:dyDescent="0.25">
      <c r="A122" s="10"/>
      <c r="B122" s="43" t="s">
        <v>66</v>
      </c>
      <c r="C122" s="296"/>
      <c r="D122" s="53"/>
      <c r="E122" s="639"/>
      <c r="F122" s="639"/>
      <c r="G122" s="639"/>
      <c r="H122" s="53"/>
      <c r="I122" s="639"/>
      <c r="J122" s="639"/>
      <c r="K122" s="639"/>
      <c r="L122" s="28"/>
      <c r="M122" s="630"/>
    </row>
    <row r="123" spans="1:13" outlineLevel="1" x14ac:dyDescent="0.25">
      <c r="A123" s="10"/>
      <c r="B123" s="43" t="s">
        <v>554</v>
      </c>
      <c r="C123" s="296"/>
      <c r="D123" s="53"/>
      <c r="E123" s="639"/>
      <c r="F123" s="639"/>
      <c r="G123" s="639"/>
      <c r="H123" s="53"/>
      <c r="I123" s="639"/>
      <c r="J123" s="639"/>
      <c r="K123" s="639"/>
      <c r="L123" s="28"/>
      <c r="M123" s="630"/>
    </row>
    <row r="124" spans="1:13" outlineLevel="1" x14ac:dyDescent="0.25">
      <c r="A124" s="10"/>
      <c r="B124" s="43" t="s">
        <v>67</v>
      </c>
      <c r="C124" s="296"/>
      <c r="D124" s="53"/>
      <c r="E124" s="639"/>
      <c r="F124" s="639"/>
      <c r="G124" s="639"/>
      <c r="H124" s="53"/>
      <c r="I124" s="639"/>
      <c r="J124" s="639"/>
      <c r="K124" s="639"/>
      <c r="L124" s="28"/>
      <c r="M124" s="630"/>
    </row>
    <row r="125" spans="1:13" s="9" customFormat="1" ht="36.75" customHeight="1" x14ac:dyDescent="0.2">
      <c r="A125" s="218">
        <v>29</v>
      </c>
      <c r="B125" s="60" t="s">
        <v>604</v>
      </c>
      <c r="C125" s="504">
        <f>SUM(C126:C129)</f>
        <v>12171714.1</v>
      </c>
      <c r="D125" s="40">
        <f>E125+F125+G125</f>
        <v>12171714.100000001</v>
      </c>
      <c r="E125" s="75">
        <f>SUM(E126:E129)</f>
        <v>10285865.32</v>
      </c>
      <c r="F125" s="75">
        <f>SUM(F126:F129)</f>
        <v>116855.57</v>
      </c>
      <c r="G125" s="75">
        <f>SUM(G126:G129)</f>
        <v>1768993.21</v>
      </c>
      <c r="H125" s="40">
        <f>I125+J125+K125</f>
        <v>10962936.26</v>
      </c>
      <c r="I125" s="75">
        <f>SUM(I126:I129)</f>
        <v>10285865.32</v>
      </c>
      <c r="J125" s="75">
        <f>SUM(J126:J129)</f>
        <v>109629.36</v>
      </c>
      <c r="K125" s="75">
        <f>SUM(K126:K129)</f>
        <v>567441.57999999996</v>
      </c>
      <c r="L125" s="35"/>
      <c r="M125" s="629"/>
    </row>
    <row r="126" spans="1:13" s="91" customFormat="1" outlineLevel="1" x14ac:dyDescent="0.25">
      <c r="A126" s="260"/>
      <c r="B126" s="261" t="s">
        <v>64</v>
      </c>
      <c r="C126" s="505">
        <v>10732133.039999999</v>
      </c>
      <c r="D126" s="316">
        <f>SUM(E126:G126)</f>
        <v>10732133.039999999</v>
      </c>
      <c r="E126" s="257">
        <v>10069316.51</v>
      </c>
      <c r="F126" s="257">
        <v>98089.2</v>
      </c>
      <c r="G126" s="269">
        <v>564727.32999999996</v>
      </c>
      <c r="H126" s="316">
        <f>SUM(I126:K126)</f>
        <v>10732133.039999999</v>
      </c>
      <c r="I126" s="257">
        <v>10069316.51</v>
      </c>
      <c r="J126" s="257">
        <v>98089.2</v>
      </c>
      <c r="K126" s="269">
        <v>564727.32999999996</v>
      </c>
      <c r="L126" s="271" t="s">
        <v>803</v>
      </c>
      <c r="M126" s="632">
        <v>42598</v>
      </c>
    </row>
    <row r="127" spans="1:13" s="91" customFormat="1" outlineLevel="1" x14ac:dyDescent="0.25">
      <c r="A127" s="260"/>
      <c r="B127" s="261" t="s">
        <v>66</v>
      </c>
      <c r="C127" s="505">
        <v>1208777.8400000001</v>
      </c>
      <c r="D127" s="316">
        <f>E127+F127+G127</f>
        <v>1208777.8399999999</v>
      </c>
      <c r="E127" s="257">
        <v>0</v>
      </c>
      <c r="F127" s="257">
        <v>7226.21</v>
      </c>
      <c r="G127" s="269">
        <v>1201551.6299999999</v>
      </c>
      <c r="H127" s="316"/>
      <c r="I127" s="257"/>
      <c r="J127" s="257"/>
      <c r="K127" s="269"/>
      <c r="L127" s="271" t="s">
        <v>803</v>
      </c>
      <c r="M127" s="632">
        <v>42598</v>
      </c>
    </row>
    <row r="128" spans="1:13" outlineLevel="1" x14ac:dyDescent="0.25">
      <c r="A128" s="10"/>
      <c r="B128" s="43" t="s">
        <v>557</v>
      </c>
      <c r="C128" s="296"/>
      <c r="D128" s="53"/>
      <c r="E128" s="11"/>
      <c r="F128" s="11"/>
      <c r="G128" s="106"/>
      <c r="H128" s="53"/>
      <c r="I128" s="11"/>
      <c r="J128" s="11"/>
      <c r="K128" s="106"/>
      <c r="L128" s="28"/>
      <c r="M128" s="630"/>
    </row>
    <row r="129" spans="1:13" s="91" customFormat="1" outlineLevel="1" x14ac:dyDescent="0.25">
      <c r="A129" s="260"/>
      <c r="B129" s="261" t="s">
        <v>67</v>
      </c>
      <c r="C129" s="505">
        <v>230803.22</v>
      </c>
      <c r="D129" s="316">
        <f>E129+F129+G129</f>
        <v>230803.22</v>
      </c>
      <c r="E129" s="257">
        <v>216548.81</v>
      </c>
      <c r="F129" s="257">
        <v>11540.16</v>
      </c>
      <c r="G129" s="269">
        <v>2714.25</v>
      </c>
      <c r="H129" s="316">
        <f>I129+J129+K129</f>
        <v>230803.22</v>
      </c>
      <c r="I129" s="257">
        <v>216548.81</v>
      </c>
      <c r="J129" s="257">
        <v>11540.16</v>
      </c>
      <c r="K129" s="269">
        <v>2714.25</v>
      </c>
      <c r="L129" s="271" t="s">
        <v>781</v>
      </c>
      <c r="M129" s="631"/>
    </row>
    <row r="130" spans="1:13" s="395" customFormat="1" ht="32.25" customHeight="1" x14ac:dyDescent="0.2">
      <c r="A130" s="391">
        <v>30</v>
      </c>
      <c r="B130" s="392" t="s">
        <v>605</v>
      </c>
      <c r="C130" s="568">
        <f>SUM(C131:C133)</f>
        <v>11676008.959999999</v>
      </c>
      <c r="D130" s="288">
        <f>E130+F130+G130</f>
        <v>11676008.959999999</v>
      </c>
      <c r="E130" s="289">
        <f>SUM(E131:E133)</f>
        <v>9820774.9299999997</v>
      </c>
      <c r="F130" s="289">
        <f>SUM(F131:F133)</f>
        <v>112193.51</v>
      </c>
      <c r="G130" s="247">
        <f>SUM(G131:G133)</f>
        <v>1743040.52</v>
      </c>
      <c r="H130" s="288">
        <f>I130+J130+K130</f>
        <v>10467231.120000001</v>
      </c>
      <c r="I130" s="289">
        <f>SUM(I131:I133)</f>
        <v>9820774.9299999997</v>
      </c>
      <c r="J130" s="289">
        <f>SUM(J131:J133)</f>
        <v>104672.31</v>
      </c>
      <c r="K130" s="247">
        <f>SUM(K131:K133)</f>
        <v>541783.88</v>
      </c>
      <c r="L130" s="400"/>
      <c r="M130" s="664"/>
    </row>
    <row r="131" spans="1:13" s="91" customFormat="1" outlineLevel="1" x14ac:dyDescent="0.25">
      <c r="A131" s="260"/>
      <c r="B131" s="261" t="s">
        <v>64</v>
      </c>
      <c r="C131" s="505">
        <v>10387196.619999999</v>
      </c>
      <c r="D131" s="316">
        <f>SUM(E131:G131)</f>
        <v>10387196.619999999</v>
      </c>
      <c r="E131" s="257">
        <v>9745683.3599999994</v>
      </c>
      <c r="F131" s="257">
        <v>100670.59</v>
      </c>
      <c r="G131" s="269">
        <v>540842.67000000004</v>
      </c>
      <c r="H131" s="316">
        <f>SUM(I131:K131)</f>
        <v>10387196.619999999</v>
      </c>
      <c r="I131" s="257">
        <v>9745683.3599999994</v>
      </c>
      <c r="J131" s="257">
        <v>100670.59</v>
      </c>
      <c r="K131" s="269">
        <v>540842.67000000004</v>
      </c>
      <c r="L131" s="271" t="s">
        <v>803</v>
      </c>
      <c r="M131" s="632">
        <v>42598</v>
      </c>
    </row>
    <row r="132" spans="1:13" s="91" customFormat="1" outlineLevel="1" x14ac:dyDescent="0.25">
      <c r="A132" s="260"/>
      <c r="B132" s="261" t="s">
        <v>66</v>
      </c>
      <c r="C132" s="505">
        <v>1208777.8400000001</v>
      </c>
      <c r="D132" s="316">
        <f>E132+F132+G132</f>
        <v>1208777.8399999999</v>
      </c>
      <c r="E132" s="257">
        <v>0</v>
      </c>
      <c r="F132" s="257">
        <v>7521.2</v>
      </c>
      <c r="G132" s="269">
        <v>1201256.6399999999</v>
      </c>
      <c r="H132" s="316"/>
      <c r="I132" s="257"/>
      <c r="J132" s="257"/>
      <c r="K132" s="269"/>
      <c r="L132" s="271" t="s">
        <v>803</v>
      </c>
      <c r="M132" s="632">
        <v>42598</v>
      </c>
    </row>
    <row r="133" spans="1:13" s="91" customFormat="1" outlineLevel="1" x14ac:dyDescent="0.25">
      <c r="A133" s="260"/>
      <c r="B133" s="261" t="s">
        <v>67</v>
      </c>
      <c r="C133" s="505">
        <v>80034.5</v>
      </c>
      <c r="D133" s="316">
        <f>E133+F133+G133</f>
        <v>80034.500000000015</v>
      </c>
      <c r="E133" s="257">
        <v>75091.570000000007</v>
      </c>
      <c r="F133" s="257">
        <v>4001.72</v>
      </c>
      <c r="G133" s="269">
        <v>941.21</v>
      </c>
      <c r="H133" s="316">
        <f>I133+J133+K133</f>
        <v>80034.500000000015</v>
      </c>
      <c r="I133" s="257">
        <v>75091.570000000007</v>
      </c>
      <c r="J133" s="257">
        <v>4001.72</v>
      </c>
      <c r="K133" s="269">
        <v>941.21</v>
      </c>
      <c r="L133" s="271" t="s">
        <v>781</v>
      </c>
      <c r="M133" s="631"/>
    </row>
    <row r="134" spans="1:13" s="9" customFormat="1" ht="33.75" customHeight="1" x14ac:dyDescent="0.2">
      <c r="A134" s="218">
        <v>31</v>
      </c>
      <c r="B134" s="60" t="s">
        <v>376</v>
      </c>
      <c r="C134" s="504">
        <f>SUM(C135:C137)</f>
        <v>3989221.39</v>
      </c>
      <c r="D134" s="40">
        <f>E134+F134+G134</f>
        <v>3989221.3899999997</v>
      </c>
      <c r="E134" s="75">
        <f>SUM(E135:E137)</f>
        <v>3104611.55</v>
      </c>
      <c r="F134" s="75">
        <f>SUM(F135:F137)</f>
        <v>39892.21</v>
      </c>
      <c r="G134" s="80">
        <f>SUM(G135:G137)</f>
        <v>844717.63</v>
      </c>
      <c r="H134" s="40">
        <f>I134+J134+K134</f>
        <v>151699.72999999998</v>
      </c>
      <c r="I134" s="75">
        <f>SUM(I135:I137)</f>
        <v>142330.75</v>
      </c>
      <c r="J134" s="75">
        <f>SUM(J135:J137)</f>
        <v>7584.99</v>
      </c>
      <c r="K134" s="80">
        <f>SUM(K135:K137)</f>
        <v>1783.99</v>
      </c>
      <c r="L134" s="35"/>
      <c r="M134" s="629"/>
    </row>
    <row r="135" spans="1:13" s="91" customFormat="1" outlineLevel="1" x14ac:dyDescent="0.25">
      <c r="A135" s="260"/>
      <c r="B135" s="261" t="s">
        <v>555</v>
      </c>
      <c r="C135" s="505">
        <v>3837521.66</v>
      </c>
      <c r="D135" s="316">
        <f>SUM(E135:G135)</f>
        <v>3837521.66</v>
      </c>
      <c r="E135" s="257">
        <v>2962280.8</v>
      </c>
      <c r="F135" s="257">
        <v>32307.219999999998</v>
      </c>
      <c r="G135" s="269">
        <v>842933.64</v>
      </c>
      <c r="H135" s="316"/>
      <c r="I135" s="257"/>
      <c r="J135" s="257"/>
      <c r="K135" s="269"/>
      <c r="L135" s="271" t="s">
        <v>865</v>
      </c>
      <c r="M135" s="632">
        <v>42661</v>
      </c>
    </row>
    <row r="136" spans="1:13" outlineLevel="1" x14ac:dyDescent="0.25">
      <c r="A136" s="10"/>
      <c r="B136" s="43" t="s">
        <v>557</v>
      </c>
      <c r="C136" s="296"/>
      <c r="D136" s="53"/>
      <c r="E136" s="11"/>
      <c r="F136" s="11"/>
      <c r="G136" s="106"/>
      <c r="H136" s="53"/>
      <c r="I136" s="11"/>
      <c r="J136" s="11"/>
      <c r="K136" s="106"/>
      <c r="L136" s="28"/>
      <c r="M136" s="630"/>
    </row>
    <row r="137" spans="1:13" s="91" customFormat="1" outlineLevel="1" x14ac:dyDescent="0.25">
      <c r="A137" s="260"/>
      <c r="B137" s="261" t="s">
        <v>67</v>
      </c>
      <c r="C137" s="505">
        <v>151699.73000000001</v>
      </c>
      <c r="D137" s="316">
        <f>E137+F137+G137</f>
        <v>151699.72999999998</v>
      </c>
      <c r="E137" s="257">
        <v>142330.75</v>
      </c>
      <c r="F137" s="257">
        <v>7584.99</v>
      </c>
      <c r="G137" s="269">
        <v>1783.99</v>
      </c>
      <c r="H137" s="316">
        <f>I137+J137+K137</f>
        <v>151699.72999999998</v>
      </c>
      <c r="I137" s="257">
        <v>142330.75</v>
      </c>
      <c r="J137" s="257">
        <v>7584.99</v>
      </c>
      <c r="K137" s="269">
        <v>1783.99</v>
      </c>
      <c r="L137" s="271" t="s">
        <v>781</v>
      </c>
      <c r="M137" s="631"/>
    </row>
    <row r="138" spans="1:13" s="395" customFormat="1" ht="33" customHeight="1" x14ac:dyDescent="0.2">
      <c r="A138" s="391">
        <v>32</v>
      </c>
      <c r="B138" s="506" t="s">
        <v>387</v>
      </c>
      <c r="C138" s="568">
        <f>SUM(C139:C140)</f>
        <v>4581789.84</v>
      </c>
      <c r="D138" s="288">
        <f>E138+F138+G138</f>
        <v>4581789.8399999989</v>
      </c>
      <c r="E138" s="289">
        <f>SUM(E139:E140)</f>
        <v>3565777.939999999</v>
      </c>
      <c r="F138" s="289">
        <f>SUM(F139:F140)</f>
        <v>45817.899999999987</v>
      </c>
      <c r="G138" s="247">
        <f>SUM(G139:G140)</f>
        <v>970193.99999999977</v>
      </c>
      <c r="H138" s="288">
        <f>I138+J138+K138</f>
        <v>98625.279999999999</v>
      </c>
      <c r="I138" s="289">
        <f>SUM(I139:I140)</f>
        <v>92534.19</v>
      </c>
      <c r="J138" s="289">
        <f>SUM(J139:J140)</f>
        <v>4931.26</v>
      </c>
      <c r="K138" s="247">
        <f>SUM(K139:K140)</f>
        <v>1159.83</v>
      </c>
      <c r="L138" s="400"/>
      <c r="M138" s="664"/>
    </row>
    <row r="139" spans="1:13" s="91" customFormat="1" outlineLevel="1" x14ac:dyDescent="0.25">
      <c r="A139" s="260"/>
      <c r="B139" s="261" t="s">
        <v>555</v>
      </c>
      <c r="C139" s="505">
        <v>4483164.5599999996</v>
      </c>
      <c r="D139" s="316">
        <f>SUM(E139:G139)</f>
        <v>4483164.5599999987</v>
      </c>
      <c r="E139" s="257">
        <v>3473243.7499999991</v>
      </c>
      <c r="F139" s="257">
        <v>40886.639999999985</v>
      </c>
      <c r="G139" s="269">
        <v>969034.16999999981</v>
      </c>
      <c r="H139" s="316"/>
      <c r="I139" s="257"/>
      <c r="J139" s="257"/>
      <c r="K139" s="269"/>
      <c r="L139" s="271" t="s">
        <v>865</v>
      </c>
      <c r="M139" s="632">
        <v>42661</v>
      </c>
    </row>
    <row r="140" spans="1:13" s="91" customFormat="1" outlineLevel="1" x14ac:dyDescent="0.25">
      <c r="A140" s="260"/>
      <c r="B140" s="261" t="s">
        <v>67</v>
      </c>
      <c r="C140" s="505">
        <v>98625.279999999999</v>
      </c>
      <c r="D140" s="316">
        <f>E140+F140+G140</f>
        <v>98625.279999999999</v>
      </c>
      <c r="E140" s="257">
        <v>92534.19</v>
      </c>
      <c r="F140" s="257">
        <v>4931.26</v>
      </c>
      <c r="G140" s="269">
        <v>1159.83</v>
      </c>
      <c r="H140" s="316">
        <v>98625.279999999999</v>
      </c>
      <c r="I140" s="257">
        <v>92534.19</v>
      </c>
      <c r="J140" s="257">
        <v>4931.26</v>
      </c>
      <c r="K140" s="269">
        <v>1159.83</v>
      </c>
      <c r="L140" s="271" t="s">
        <v>781</v>
      </c>
      <c r="M140" s="631"/>
    </row>
    <row r="141" spans="1:13" s="9" customFormat="1" ht="38.25" customHeight="1" x14ac:dyDescent="0.2">
      <c r="A141" s="218">
        <v>33</v>
      </c>
      <c r="B141" s="212" t="s">
        <v>386</v>
      </c>
      <c r="C141" s="504">
        <f>SUM(C142:C144)</f>
        <v>99404.92</v>
      </c>
      <c r="D141" s="640">
        <f t="shared" ref="D141:D143" si="5">E141+F141+G141</f>
        <v>99404.92</v>
      </c>
      <c r="E141" s="75">
        <f>SUM(E142:E144)</f>
        <v>93265.67</v>
      </c>
      <c r="F141" s="75">
        <f>SUM(F142:F144)</f>
        <v>4970.25</v>
      </c>
      <c r="G141" s="80">
        <f>SUM(G142:G144)</f>
        <v>1169</v>
      </c>
      <c r="H141" s="40">
        <f>I141+J141+K141</f>
        <v>99404.92</v>
      </c>
      <c r="I141" s="75">
        <f>SUM(I142:I144)</f>
        <v>93265.67</v>
      </c>
      <c r="J141" s="75">
        <f>SUM(J142:J144)</f>
        <v>4970.25</v>
      </c>
      <c r="K141" s="80">
        <f>SUM(K142:K144)</f>
        <v>1169</v>
      </c>
      <c r="L141" s="35"/>
      <c r="M141" s="629"/>
    </row>
    <row r="142" spans="1:13" outlineLevel="1" x14ac:dyDescent="0.25">
      <c r="A142" s="10"/>
      <c r="B142" s="43" t="s">
        <v>555</v>
      </c>
      <c r="C142" s="296"/>
      <c r="D142" s="641">
        <f t="shared" si="5"/>
        <v>0</v>
      </c>
      <c r="E142" s="11"/>
      <c r="F142" s="11"/>
      <c r="G142" s="106"/>
      <c r="H142" s="53"/>
      <c r="I142" s="11"/>
      <c r="J142" s="11"/>
      <c r="K142" s="106"/>
      <c r="L142" s="28"/>
      <c r="M142" s="630"/>
    </row>
    <row r="143" spans="1:13" outlineLevel="1" x14ac:dyDescent="0.25">
      <c r="A143" s="10"/>
      <c r="B143" s="43" t="s">
        <v>554</v>
      </c>
      <c r="C143" s="296"/>
      <c r="D143" s="641">
        <f t="shared" si="5"/>
        <v>0</v>
      </c>
      <c r="E143" s="11"/>
      <c r="F143" s="11"/>
      <c r="G143" s="106"/>
      <c r="H143" s="53"/>
      <c r="I143" s="11"/>
      <c r="J143" s="11"/>
      <c r="K143" s="106"/>
      <c r="L143" s="28"/>
      <c r="M143" s="630"/>
    </row>
    <row r="144" spans="1:13" s="91" customFormat="1" outlineLevel="1" x14ac:dyDescent="0.25">
      <c r="A144" s="267"/>
      <c r="B144" s="261" t="s">
        <v>67</v>
      </c>
      <c r="C144" s="505">
        <v>99404.92</v>
      </c>
      <c r="D144" s="573">
        <f>E144+F144+G144</f>
        <v>99404.92</v>
      </c>
      <c r="E144" s="574">
        <v>93265.67</v>
      </c>
      <c r="F144" s="574">
        <v>4970.25</v>
      </c>
      <c r="G144" s="575">
        <v>1169</v>
      </c>
      <c r="H144" s="573">
        <v>99404.92</v>
      </c>
      <c r="I144" s="574">
        <v>93265.67</v>
      </c>
      <c r="J144" s="574">
        <v>4970.25</v>
      </c>
      <c r="K144" s="575">
        <v>1169</v>
      </c>
      <c r="L144" s="271" t="s">
        <v>781</v>
      </c>
      <c r="M144" s="631"/>
    </row>
    <row r="145" spans="1:13" s="9" customFormat="1" ht="33" customHeight="1" thickBot="1" x14ac:dyDescent="0.25">
      <c r="A145" s="126">
        <v>34</v>
      </c>
      <c r="B145" s="183" t="s">
        <v>556</v>
      </c>
      <c r="C145" s="426"/>
      <c r="D145" s="191"/>
      <c r="E145" s="192"/>
      <c r="F145" s="192"/>
      <c r="G145" s="349"/>
      <c r="H145" s="191"/>
      <c r="I145" s="192"/>
      <c r="J145" s="192"/>
      <c r="K145" s="349"/>
      <c r="L145" s="185"/>
      <c r="M145" s="629"/>
    </row>
    <row r="147" spans="1:13" ht="15.75" thickBot="1" x14ac:dyDescent="0.3"/>
    <row r="148" spans="1:13" x14ac:dyDescent="0.25">
      <c r="B148" s="276" t="s">
        <v>64</v>
      </c>
      <c r="C148" s="279">
        <f t="shared" ref="C148:K148" si="6">C16+C40+C87+C100+C114+C126+C131</f>
        <v>21119329.659999996</v>
      </c>
      <c r="D148" s="279">
        <f t="shared" si="6"/>
        <v>21119329.659999996</v>
      </c>
      <c r="E148" s="279">
        <f t="shared" si="6"/>
        <v>19814999.869999997</v>
      </c>
      <c r="F148" s="279">
        <f t="shared" si="6"/>
        <v>198759.78999999998</v>
      </c>
      <c r="G148" s="279">
        <f t="shared" si="6"/>
        <v>1105570</v>
      </c>
      <c r="H148" s="279">
        <f t="shared" si="6"/>
        <v>21119329.659999996</v>
      </c>
      <c r="I148" s="279">
        <f t="shared" si="6"/>
        <v>19814999.869999997</v>
      </c>
      <c r="J148" s="279">
        <f t="shared" si="6"/>
        <v>198759.78999999998</v>
      </c>
      <c r="K148" s="277">
        <f t="shared" si="6"/>
        <v>1105570</v>
      </c>
    </row>
    <row r="149" spans="1:13" x14ac:dyDescent="0.25">
      <c r="B149" s="278" t="s">
        <v>65</v>
      </c>
      <c r="C149" s="12">
        <f t="shared" ref="C149:K149" si="7">C17+C101+C115</f>
        <v>0</v>
      </c>
      <c r="D149" s="12">
        <f t="shared" si="7"/>
        <v>0</v>
      </c>
      <c r="E149" s="12">
        <f t="shared" si="7"/>
        <v>0</v>
      </c>
      <c r="F149" s="12">
        <f t="shared" si="7"/>
        <v>0</v>
      </c>
      <c r="G149" s="12">
        <f t="shared" si="7"/>
        <v>0</v>
      </c>
      <c r="H149" s="12">
        <f t="shared" si="7"/>
        <v>0</v>
      </c>
      <c r="I149" s="12">
        <f t="shared" si="7"/>
        <v>0</v>
      </c>
      <c r="J149" s="12">
        <f t="shared" si="7"/>
        <v>0</v>
      </c>
      <c r="K149" s="16">
        <f t="shared" si="7"/>
        <v>0</v>
      </c>
    </row>
    <row r="150" spans="1:13" x14ac:dyDescent="0.25">
      <c r="B150" s="278" t="s">
        <v>66</v>
      </c>
      <c r="C150" s="12">
        <f t="shared" ref="C150:K150" si="8">C12+C18+C24+C88+C102+C116+C127+C132</f>
        <v>2417555.6800000002</v>
      </c>
      <c r="D150" s="12">
        <f t="shared" si="8"/>
        <v>2417555.6799999997</v>
      </c>
      <c r="E150" s="12">
        <f t="shared" si="8"/>
        <v>0</v>
      </c>
      <c r="F150" s="12">
        <f t="shared" si="8"/>
        <v>14747.41</v>
      </c>
      <c r="G150" s="12">
        <f t="shared" si="8"/>
        <v>2402808.2699999996</v>
      </c>
      <c r="H150" s="12">
        <f t="shared" si="8"/>
        <v>0</v>
      </c>
      <c r="I150" s="12">
        <f t="shared" si="8"/>
        <v>0</v>
      </c>
      <c r="J150" s="12">
        <f t="shared" si="8"/>
        <v>0</v>
      </c>
      <c r="K150" s="16">
        <f t="shared" si="8"/>
        <v>0</v>
      </c>
    </row>
    <row r="151" spans="1:13" x14ac:dyDescent="0.25">
      <c r="B151" s="278" t="s">
        <v>555</v>
      </c>
      <c r="C151" s="12">
        <f t="shared" ref="C151:K151" si="9">C28+C31+C34+C37+C44+C52+C60+C64+C80+C84+C92+C96+C106+C110+C135+C139+C142</f>
        <v>34247885.759999998</v>
      </c>
      <c r="D151" s="12">
        <f t="shared" si="9"/>
        <v>34247885.759999998</v>
      </c>
      <c r="E151" s="12">
        <f t="shared" si="9"/>
        <v>26534209.215792503</v>
      </c>
      <c r="F151" s="12">
        <f t="shared" si="9"/>
        <v>312675.0209</v>
      </c>
      <c r="G151" s="12">
        <f t="shared" si="9"/>
        <v>7401001.5233074995</v>
      </c>
      <c r="H151" s="12">
        <f t="shared" si="9"/>
        <v>13023193.9</v>
      </c>
      <c r="I151" s="12">
        <f t="shared" si="9"/>
        <v>10087596.870000001</v>
      </c>
      <c r="J151" s="12">
        <f t="shared" si="9"/>
        <v>118305.25</v>
      </c>
      <c r="K151" s="16">
        <f t="shared" si="9"/>
        <v>2817291.7800000003</v>
      </c>
    </row>
    <row r="152" spans="1:13" x14ac:dyDescent="0.25">
      <c r="B152" s="278" t="s">
        <v>557</v>
      </c>
      <c r="C152" s="12">
        <f t="shared" ref="C152:K152" si="10">C8+C19+C56+C128+C136</f>
        <v>0</v>
      </c>
      <c r="D152" s="12">
        <f t="shared" si="10"/>
        <v>0</v>
      </c>
      <c r="E152" s="12">
        <f t="shared" si="10"/>
        <v>0</v>
      </c>
      <c r="F152" s="12">
        <f t="shared" si="10"/>
        <v>0</v>
      </c>
      <c r="G152" s="12">
        <f t="shared" si="10"/>
        <v>0</v>
      </c>
      <c r="H152" s="12">
        <f t="shared" si="10"/>
        <v>0</v>
      </c>
      <c r="I152" s="12">
        <f t="shared" si="10"/>
        <v>0</v>
      </c>
      <c r="J152" s="12">
        <f t="shared" si="10"/>
        <v>0</v>
      </c>
      <c r="K152" s="16">
        <f t="shared" si="10"/>
        <v>0</v>
      </c>
    </row>
    <row r="153" spans="1:13" x14ac:dyDescent="0.25">
      <c r="B153" s="278" t="s">
        <v>564</v>
      </c>
      <c r="C153" s="12">
        <f t="shared" ref="C153:K153" si="11">C48+C68+C72+C76</f>
        <v>0</v>
      </c>
      <c r="D153" s="12">
        <f t="shared" si="11"/>
        <v>0</v>
      </c>
      <c r="E153" s="12">
        <f t="shared" si="11"/>
        <v>0</v>
      </c>
      <c r="F153" s="12">
        <f t="shared" si="11"/>
        <v>0</v>
      </c>
      <c r="G153" s="12">
        <f t="shared" si="11"/>
        <v>0</v>
      </c>
      <c r="H153" s="12">
        <f t="shared" si="11"/>
        <v>0</v>
      </c>
      <c r="I153" s="12">
        <f t="shared" si="11"/>
        <v>0</v>
      </c>
      <c r="J153" s="12">
        <f t="shared" si="11"/>
        <v>0</v>
      </c>
      <c r="K153" s="16">
        <f t="shared" si="11"/>
        <v>0</v>
      </c>
    </row>
    <row r="154" spans="1:13" x14ac:dyDescent="0.25">
      <c r="B154" s="278" t="s">
        <v>561</v>
      </c>
      <c r="C154" s="12">
        <f t="shared" ref="C154:K154" si="12">C20</f>
        <v>0</v>
      </c>
      <c r="D154" s="12">
        <f t="shared" si="12"/>
        <v>0</v>
      </c>
      <c r="E154" s="12">
        <f t="shared" si="12"/>
        <v>0</v>
      </c>
      <c r="F154" s="12">
        <f t="shared" si="12"/>
        <v>0</v>
      </c>
      <c r="G154" s="12">
        <f t="shared" si="12"/>
        <v>0</v>
      </c>
      <c r="H154" s="12">
        <f t="shared" si="12"/>
        <v>0</v>
      </c>
      <c r="I154" s="12">
        <f t="shared" si="12"/>
        <v>0</v>
      </c>
      <c r="J154" s="12">
        <f t="shared" si="12"/>
        <v>0</v>
      </c>
      <c r="K154" s="16">
        <f t="shared" si="12"/>
        <v>0</v>
      </c>
    </row>
    <row r="155" spans="1:13" x14ac:dyDescent="0.25">
      <c r="B155" s="278" t="s">
        <v>554</v>
      </c>
      <c r="C155" s="12">
        <f>C9+C13+C21+C41+C45+C49+C53+C57+C61+C65+C69+C73+C77+C81+C89+C93+C97+C103+C107+C111+C117+C143+C25</f>
        <v>0</v>
      </c>
      <c r="D155" s="12">
        <f t="shared" ref="D155:K155" si="13">D9+D13+D21+D41+D45+D49+D53+D57+D61+D65+D69+D73+D77+D81+D89+D93+D97+D103+D107+D111+D117+D143+D25</f>
        <v>0</v>
      </c>
      <c r="E155" s="12">
        <f t="shared" si="13"/>
        <v>0</v>
      </c>
      <c r="F155" s="12">
        <f t="shared" si="13"/>
        <v>0</v>
      </c>
      <c r="G155" s="12">
        <f t="shared" si="13"/>
        <v>0</v>
      </c>
      <c r="H155" s="12">
        <f t="shared" si="13"/>
        <v>0</v>
      </c>
      <c r="I155" s="12">
        <f t="shared" si="13"/>
        <v>0</v>
      </c>
      <c r="J155" s="12">
        <f t="shared" si="13"/>
        <v>0</v>
      </c>
      <c r="K155" s="12">
        <f t="shared" si="13"/>
        <v>0</v>
      </c>
    </row>
    <row r="156" spans="1:13" x14ac:dyDescent="0.25">
      <c r="B156" s="281" t="s">
        <v>67</v>
      </c>
      <c r="C156" s="12">
        <f>C10+C14+C22+C26+C29+C32+C35+C38+C42+C46+C50+C54+C58+C62+C66+C70+C74+C78+C82+C85+C90+C94+C98+C104+C108+C112+C118+C124+C129+C133+C137+C140+C144+C145</f>
        <v>3082418.44</v>
      </c>
      <c r="D156" s="12">
        <f t="shared" ref="D156:K156" si="14">D10+D14+D22+D26+D29+D32+D35+D38+D42+D46+D50+D54+D58+D62+D66+D70+D74+D78+D82+D85+D90+D94+D98+D104+D108+D112+D118+D129+D133+D137+D140+D144+D145</f>
        <v>3082418.44</v>
      </c>
      <c r="E156" s="12">
        <f t="shared" si="14"/>
        <v>2892048.2499999995</v>
      </c>
      <c r="F156" s="12">
        <f t="shared" si="14"/>
        <v>154120.93999999997</v>
      </c>
      <c r="G156" s="12">
        <f t="shared" si="14"/>
        <v>36249.25</v>
      </c>
      <c r="H156" s="12">
        <f t="shared" si="14"/>
        <v>3082418.44</v>
      </c>
      <c r="I156" s="12">
        <f t="shared" si="14"/>
        <v>2892048.2499999995</v>
      </c>
      <c r="J156" s="12">
        <f t="shared" si="14"/>
        <v>154120.93999999997</v>
      </c>
      <c r="K156" s="16">
        <f t="shared" si="14"/>
        <v>36249.25</v>
      </c>
    </row>
    <row r="157" spans="1:13" ht="15.75" thickBot="1" x14ac:dyDescent="0.3">
      <c r="B157" s="282" t="s">
        <v>625</v>
      </c>
      <c r="C157" s="18">
        <f t="shared" ref="C157:K157" si="15">SUBTOTAL(9,C148:C156)</f>
        <v>60867189.539999992</v>
      </c>
      <c r="D157" s="18">
        <f t="shared" si="15"/>
        <v>60867189.539999992</v>
      </c>
      <c r="E157" s="18">
        <f t="shared" si="15"/>
        <v>49241257.335792497</v>
      </c>
      <c r="F157" s="18">
        <f t="shared" si="15"/>
        <v>680303.1608999999</v>
      </c>
      <c r="G157" s="18">
        <f t="shared" si="15"/>
        <v>10945629.043307498</v>
      </c>
      <c r="H157" s="18">
        <f t="shared" si="15"/>
        <v>37224941.999999993</v>
      </c>
      <c r="I157" s="18">
        <f t="shared" si="15"/>
        <v>32794644.989999998</v>
      </c>
      <c r="J157" s="18">
        <f t="shared" si="15"/>
        <v>471185.98</v>
      </c>
      <c r="K157" s="19">
        <f t="shared" si="15"/>
        <v>3959111.0300000003</v>
      </c>
    </row>
    <row r="158" spans="1:13" x14ac:dyDescent="0.25">
      <c r="B158" s="71"/>
      <c r="C158" s="96">
        <f t="shared" ref="C158:K158" si="16">C6</f>
        <v>60867189.540000007</v>
      </c>
      <c r="D158" s="96">
        <f t="shared" si="16"/>
        <v>60867189.540000007</v>
      </c>
      <c r="E158" s="96">
        <f t="shared" si="16"/>
        <v>49241257.335792504</v>
      </c>
      <c r="F158" s="96">
        <f t="shared" si="16"/>
        <v>680303.16090000002</v>
      </c>
      <c r="G158" s="96">
        <f t="shared" si="16"/>
        <v>10945629.043307502</v>
      </c>
      <c r="H158" s="96">
        <f t="shared" si="16"/>
        <v>37224942.000000007</v>
      </c>
      <c r="I158" s="96">
        <f t="shared" si="16"/>
        <v>32794644.990000006</v>
      </c>
      <c r="J158" s="96">
        <f t="shared" si="16"/>
        <v>471185.98</v>
      </c>
      <c r="K158" s="96">
        <f t="shared" si="16"/>
        <v>3959111.0300000003</v>
      </c>
    </row>
    <row r="159" spans="1:13" x14ac:dyDescent="0.25">
      <c r="B159" s="96" t="s">
        <v>627</v>
      </c>
      <c r="C159" s="96">
        <f t="shared" ref="C159:K159" si="17">C157-C158</f>
        <v>0</v>
      </c>
      <c r="D159" s="96">
        <f t="shared" si="17"/>
        <v>0</v>
      </c>
      <c r="E159" s="96">
        <f t="shared" si="17"/>
        <v>0</v>
      </c>
      <c r="F159" s="96">
        <f t="shared" si="17"/>
        <v>0</v>
      </c>
      <c r="G159" s="96">
        <f t="shared" si="17"/>
        <v>0</v>
      </c>
      <c r="H159" s="96">
        <f t="shared" si="17"/>
        <v>0</v>
      </c>
      <c r="I159" s="96">
        <f t="shared" si="17"/>
        <v>0</v>
      </c>
      <c r="J159" s="96">
        <f t="shared" si="17"/>
        <v>0</v>
      </c>
      <c r="K159" s="96">
        <f t="shared" si="17"/>
        <v>0</v>
      </c>
    </row>
  </sheetData>
  <autoFilter ref="A7:L145"/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54" orientation="landscape" r:id="rId1"/>
  <rowBreaks count="2" manualBreakCount="2">
    <brk id="46" max="12" man="1"/>
    <brk id="98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5"/>
  </sheetPr>
  <dimension ref="A1:L65"/>
  <sheetViews>
    <sheetView view="pageBreakPreview" zoomScale="75" zoomScaleNormal="75" zoomScaleSheetLayoutView="75" workbookViewId="0">
      <selection sqref="A1:L3"/>
    </sheetView>
  </sheetViews>
  <sheetFormatPr defaultRowHeight="15" outlineLevelRow="1" x14ac:dyDescent="0.25"/>
  <cols>
    <col min="1" max="1" width="5.85546875" style="1" customWidth="1"/>
    <col min="2" max="2" width="42.28515625" style="205" customWidth="1"/>
    <col min="3" max="3" width="16.7109375" customWidth="1"/>
    <col min="4" max="11" width="16.5703125" customWidth="1"/>
    <col min="12" max="12" width="24" customWidth="1"/>
    <col min="13" max="13" width="11.140625" customWidth="1"/>
  </cols>
  <sheetData>
    <row r="1" spans="1:12" x14ac:dyDescent="0.25">
      <c r="A1" s="827" t="s">
        <v>893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2" x14ac:dyDescent="0.25">
      <c r="A2" s="827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</row>
    <row r="3" spans="1:12" ht="15.75" thickBot="1" x14ac:dyDescent="0.3">
      <c r="A3" s="828"/>
      <c r="B3" s="828"/>
      <c r="C3" s="828"/>
      <c r="D3" s="828"/>
      <c r="E3" s="828"/>
      <c r="F3" s="828"/>
      <c r="G3" s="828"/>
      <c r="H3" s="828"/>
      <c r="I3" s="828"/>
      <c r="J3" s="828"/>
      <c r="K3" s="828"/>
      <c r="L3" s="828"/>
    </row>
    <row r="4" spans="1:12" s="1" customFormat="1" ht="32.25" customHeight="1" x14ac:dyDescent="0.25">
      <c r="A4" s="746" t="s">
        <v>0</v>
      </c>
      <c r="B4" s="749" t="s">
        <v>1</v>
      </c>
      <c r="C4" s="729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8"/>
      <c r="L4" s="751" t="s">
        <v>716</v>
      </c>
    </row>
    <row r="5" spans="1:12" s="1" customFormat="1" ht="52.5" customHeight="1" x14ac:dyDescent="0.25">
      <c r="A5" s="802"/>
      <c r="B5" s="781"/>
      <c r="C5" s="730"/>
      <c r="D5" s="37" t="s">
        <v>2</v>
      </c>
      <c r="E5" s="540" t="s">
        <v>3</v>
      </c>
      <c r="F5" s="540" t="s">
        <v>717</v>
      </c>
      <c r="G5" s="541" t="s">
        <v>5</v>
      </c>
      <c r="H5" s="542" t="s">
        <v>2</v>
      </c>
      <c r="I5" s="540" t="s">
        <v>3</v>
      </c>
      <c r="J5" s="540" t="s">
        <v>717</v>
      </c>
      <c r="K5" s="537" t="s">
        <v>5</v>
      </c>
      <c r="L5" s="752"/>
    </row>
    <row r="6" spans="1:12" s="1" customFormat="1" ht="30" customHeight="1" x14ac:dyDescent="0.25">
      <c r="A6" s="775" t="s">
        <v>27</v>
      </c>
      <c r="B6" s="799"/>
      <c r="C6" s="93">
        <f>C7+C14+C20+C25+C31+C35+C39+C43+C47+C51</f>
        <v>721648.47</v>
      </c>
      <c r="D6" s="38">
        <f>E6+F6+G6</f>
        <v>721648.47</v>
      </c>
      <c r="E6" s="22">
        <f>E7+E14+E20+E25+E31+E35+E39+E43+E47+E51</f>
        <v>594825.96788219991</v>
      </c>
      <c r="F6" s="22">
        <f>F7+F14+F20+F25+F31+F35+F39+F43+F47+F51</f>
        <v>36082.423499999997</v>
      </c>
      <c r="G6" s="33">
        <f>G7+G14+G20+G25+G31+G35+G39+G43+G47+G51</f>
        <v>90740.078617800027</v>
      </c>
      <c r="H6" s="13">
        <f>I6+J6+K6</f>
        <v>721648.46000000008</v>
      </c>
      <c r="I6" s="24">
        <f>I7+I14+I20+I25+I31+I35+I39+I43+I47+I51</f>
        <v>594825.95000000007</v>
      </c>
      <c r="J6" s="24">
        <f>J7+J14+J20+J25+J31+J35+J39+J43+J47+J51</f>
        <v>36082.42</v>
      </c>
      <c r="K6" s="34">
        <f>K7+K14+K20+K25+K31+K35+K39+K43+K47+K51</f>
        <v>90740.090000000011</v>
      </c>
      <c r="L6" s="241"/>
    </row>
    <row r="7" spans="1:12" s="74" customFormat="1" ht="30.75" customHeight="1" x14ac:dyDescent="0.25">
      <c r="A7" s="195">
        <v>1</v>
      </c>
      <c r="B7" s="212" t="s">
        <v>392</v>
      </c>
      <c r="C7" s="63">
        <f>SUM(C8:C13)</f>
        <v>142050.06</v>
      </c>
      <c r="D7" s="221">
        <f>E7+F7+G7</f>
        <v>142050.06</v>
      </c>
      <c r="E7" s="75">
        <f>SUM(E8:E13)</f>
        <v>117086.18245559999</v>
      </c>
      <c r="F7" s="75">
        <f t="shared" ref="F7:G7" si="0">SUM(F8:F13)</f>
        <v>7102.5030000000006</v>
      </c>
      <c r="G7" s="75">
        <f t="shared" si="0"/>
        <v>17861.374544400005</v>
      </c>
      <c r="H7" s="40">
        <f>I7+J7+K7</f>
        <v>142050.06</v>
      </c>
      <c r="I7" s="75">
        <f>SUM(I8:I13)</f>
        <v>117086.19</v>
      </c>
      <c r="J7" s="75">
        <f t="shared" ref="J7:K7" si="1">SUM(J8:J13)</f>
        <v>7102.5</v>
      </c>
      <c r="K7" s="75">
        <f t="shared" si="1"/>
        <v>17861.37</v>
      </c>
      <c r="L7" s="221"/>
    </row>
    <row r="8" spans="1:12" ht="15" customHeight="1" outlineLevel="1" x14ac:dyDescent="0.25">
      <c r="A8" s="10"/>
      <c r="B8" s="43" t="s">
        <v>64</v>
      </c>
      <c r="C8" s="27"/>
      <c r="D8" s="222"/>
      <c r="E8" s="11"/>
      <c r="F8" s="11"/>
      <c r="G8" s="106"/>
      <c r="H8" s="53"/>
      <c r="I8" s="11"/>
      <c r="J8" s="11"/>
      <c r="K8" s="106"/>
      <c r="L8" s="222"/>
    </row>
    <row r="9" spans="1:12" ht="15" customHeight="1" outlineLevel="1" x14ac:dyDescent="0.25">
      <c r="A9" s="10"/>
      <c r="B9" s="43" t="s">
        <v>65</v>
      </c>
      <c r="C9" s="27"/>
      <c r="D9" s="222"/>
      <c r="E9" s="11"/>
      <c r="F9" s="11"/>
      <c r="G9" s="106"/>
      <c r="H9" s="53"/>
      <c r="I9" s="11"/>
      <c r="J9" s="11"/>
      <c r="K9" s="106"/>
      <c r="L9" s="222"/>
    </row>
    <row r="10" spans="1:12" ht="15" customHeight="1" outlineLevel="1" x14ac:dyDescent="0.25">
      <c r="A10" s="10"/>
      <c r="B10" s="43" t="s">
        <v>66</v>
      </c>
      <c r="C10" s="27"/>
      <c r="D10" s="222"/>
      <c r="E10" s="11"/>
      <c r="F10" s="11"/>
      <c r="G10" s="106"/>
      <c r="H10" s="53"/>
      <c r="I10" s="11"/>
      <c r="J10" s="11"/>
      <c r="K10" s="106"/>
      <c r="L10" s="222"/>
    </row>
    <row r="11" spans="1:12" ht="15" customHeight="1" outlineLevel="1" x14ac:dyDescent="0.25">
      <c r="A11" s="10"/>
      <c r="B11" s="43" t="s">
        <v>557</v>
      </c>
      <c r="C11" s="27"/>
      <c r="D11" s="222"/>
      <c r="E11" s="11"/>
      <c r="F11" s="11"/>
      <c r="G11" s="106"/>
      <c r="H11" s="53"/>
      <c r="I11" s="11"/>
      <c r="J11" s="11"/>
      <c r="K11" s="106"/>
      <c r="L11" s="222"/>
    </row>
    <row r="12" spans="1:12" ht="15" customHeight="1" outlineLevel="1" x14ac:dyDescent="0.25">
      <c r="A12" s="10"/>
      <c r="B12" s="43" t="s">
        <v>554</v>
      </c>
      <c r="C12" s="27"/>
      <c r="D12" s="222"/>
      <c r="E12" s="11"/>
      <c r="F12" s="11"/>
      <c r="G12" s="106"/>
      <c r="H12" s="53"/>
      <c r="I12" s="11"/>
      <c r="J12" s="11"/>
      <c r="K12" s="106"/>
      <c r="L12" s="222"/>
    </row>
    <row r="13" spans="1:12" s="571" customFormat="1" ht="15" customHeight="1" outlineLevel="1" x14ac:dyDescent="0.25">
      <c r="A13" s="260"/>
      <c r="B13" s="261" t="s">
        <v>67</v>
      </c>
      <c r="C13" s="270">
        <v>142050.06</v>
      </c>
      <c r="D13" s="389">
        <f>E13+F13+G13</f>
        <v>142050.06</v>
      </c>
      <c r="E13" s="257">
        <f>C13*0.82426</f>
        <v>117086.18245559999</v>
      </c>
      <c r="F13" s="257">
        <f>C13*0.05</f>
        <v>7102.5030000000006</v>
      </c>
      <c r="G13" s="269">
        <f>C13-E13-F13</f>
        <v>17861.374544400005</v>
      </c>
      <c r="H13" s="316">
        <f>I13+J13+K13</f>
        <v>142050.06</v>
      </c>
      <c r="I13" s="257">
        <v>117086.19</v>
      </c>
      <c r="J13" s="257">
        <v>7102.5</v>
      </c>
      <c r="K13" s="269">
        <v>17861.37</v>
      </c>
      <c r="L13" s="389" t="s">
        <v>746</v>
      </c>
    </row>
    <row r="14" spans="1:12" s="206" customFormat="1" ht="36" customHeight="1" x14ac:dyDescent="0.25">
      <c r="A14" s="195">
        <v>2</v>
      </c>
      <c r="B14" s="212" t="s">
        <v>395</v>
      </c>
      <c r="C14" s="63">
        <f>SUM(C15:C19)</f>
        <v>75517.14</v>
      </c>
      <c r="D14" s="221">
        <f>E14+F14+G14</f>
        <v>75517.14</v>
      </c>
      <c r="E14" s="75">
        <f>SUM(E15:E19)</f>
        <v>62245.757816400001</v>
      </c>
      <c r="F14" s="75">
        <f t="shared" ref="F14:G14" si="2">SUM(F15:F19)</f>
        <v>3775.857</v>
      </c>
      <c r="G14" s="75">
        <f t="shared" si="2"/>
        <v>9495.5251835999989</v>
      </c>
      <c r="H14" s="40">
        <f>I14+J14+K14</f>
        <v>75517.14</v>
      </c>
      <c r="I14" s="75">
        <f>SUM(I15:I19)</f>
        <v>62245.75</v>
      </c>
      <c r="J14" s="75">
        <f t="shared" ref="J14:K14" si="3">SUM(J15:J19)</f>
        <v>3775.86</v>
      </c>
      <c r="K14" s="75">
        <f t="shared" si="3"/>
        <v>9495.5300000000007</v>
      </c>
      <c r="L14" s="570"/>
    </row>
    <row r="15" spans="1:12" ht="15" customHeight="1" outlineLevel="1" x14ac:dyDescent="0.25">
      <c r="A15" s="10"/>
      <c r="B15" s="43" t="s">
        <v>66</v>
      </c>
      <c r="C15" s="27"/>
      <c r="D15" s="222"/>
      <c r="E15" s="11"/>
      <c r="F15" s="11"/>
      <c r="G15" s="106"/>
      <c r="H15" s="53"/>
      <c r="I15" s="11"/>
      <c r="J15" s="11"/>
      <c r="K15" s="106"/>
      <c r="L15" s="222"/>
    </row>
    <row r="16" spans="1:12" ht="15" customHeight="1" outlineLevel="1" x14ac:dyDescent="0.25">
      <c r="A16" s="10"/>
      <c r="B16" s="43" t="s">
        <v>555</v>
      </c>
      <c r="C16" s="27"/>
      <c r="D16" s="222"/>
      <c r="E16" s="11"/>
      <c r="F16" s="11"/>
      <c r="G16" s="106"/>
      <c r="H16" s="53"/>
      <c r="I16" s="11"/>
      <c r="J16" s="11"/>
      <c r="K16" s="106"/>
      <c r="L16" s="222"/>
    </row>
    <row r="17" spans="1:12" ht="15" customHeight="1" outlineLevel="1" x14ac:dyDescent="0.25">
      <c r="A17" s="10"/>
      <c r="B17" s="43" t="s">
        <v>564</v>
      </c>
      <c r="C17" s="27"/>
      <c r="D17" s="222"/>
      <c r="E17" s="11"/>
      <c r="F17" s="11"/>
      <c r="G17" s="106"/>
      <c r="H17" s="53"/>
      <c r="I17" s="11"/>
      <c r="J17" s="11"/>
      <c r="K17" s="106"/>
      <c r="L17" s="222"/>
    </row>
    <row r="18" spans="1:12" ht="15" customHeight="1" outlineLevel="1" x14ac:dyDescent="0.25">
      <c r="A18" s="10"/>
      <c r="B18" s="43" t="s">
        <v>554</v>
      </c>
      <c r="C18" s="27"/>
      <c r="D18" s="222"/>
      <c r="E18" s="11"/>
      <c r="F18" s="11"/>
      <c r="G18" s="106"/>
      <c r="H18" s="53"/>
      <c r="I18" s="11"/>
      <c r="J18" s="11"/>
      <c r="K18" s="106"/>
      <c r="L18" s="222"/>
    </row>
    <row r="19" spans="1:12" s="571" customFormat="1" ht="15" customHeight="1" outlineLevel="1" x14ac:dyDescent="0.25">
      <c r="A19" s="260"/>
      <c r="B19" s="261" t="s">
        <v>67</v>
      </c>
      <c r="C19" s="270">
        <v>75517.14</v>
      </c>
      <c r="D19" s="389">
        <f>E19+F19+G19</f>
        <v>75517.14</v>
      </c>
      <c r="E19" s="257">
        <f>C19*0.82426</f>
        <v>62245.757816400001</v>
      </c>
      <c r="F19" s="257">
        <f>C19*0.05</f>
        <v>3775.857</v>
      </c>
      <c r="G19" s="269">
        <f>C19-E19-F19</f>
        <v>9495.5251835999989</v>
      </c>
      <c r="H19" s="316">
        <f>I19+J19+K19</f>
        <v>75517.14</v>
      </c>
      <c r="I19" s="257">
        <v>62245.75</v>
      </c>
      <c r="J19" s="257">
        <v>3775.86</v>
      </c>
      <c r="K19" s="269">
        <v>9495.5300000000007</v>
      </c>
      <c r="L19" s="389" t="s">
        <v>746</v>
      </c>
    </row>
    <row r="20" spans="1:12" s="206" customFormat="1" ht="30" customHeight="1" x14ac:dyDescent="0.25">
      <c r="A20" s="195">
        <v>3</v>
      </c>
      <c r="B20" s="212" t="s">
        <v>393</v>
      </c>
      <c r="C20" s="63">
        <f>SUM(C21:C24)</f>
        <v>121295.62</v>
      </c>
      <c r="D20" s="221">
        <f>E20+F20+G20</f>
        <v>121295.62</v>
      </c>
      <c r="E20" s="75">
        <f>SUM(E21:E24)</f>
        <v>99979.127741199991</v>
      </c>
      <c r="F20" s="75">
        <f t="shared" ref="F20:G20" si="4">SUM(F21:F24)</f>
        <v>6064.7809999999999</v>
      </c>
      <c r="G20" s="75">
        <f t="shared" si="4"/>
        <v>15251.711258800005</v>
      </c>
      <c r="H20" s="40">
        <f>I20+J20+K20</f>
        <v>121295.62</v>
      </c>
      <c r="I20" s="75">
        <f>SUM(I21:I24)</f>
        <v>99979.13</v>
      </c>
      <c r="J20" s="75">
        <f t="shared" ref="J20:K20" si="5">SUM(J21:J24)</f>
        <v>6064.78</v>
      </c>
      <c r="K20" s="75">
        <f t="shared" si="5"/>
        <v>15251.71</v>
      </c>
      <c r="L20" s="570"/>
    </row>
    <row r="21" spans="1:12" ht="15" customHeight="1" outlineLevel="1" x14ac:dyDescent="0.25">
      <c r="A21" s="10"/>
      <c r="B21" s="43" t="s">
        <v>64</v>
      </c>
      <c r="C21" s="27"/>
      <c r="D21" s="222"/>
      <c r="E21" s="11"/>
      <c r="F21" s="11"/>
      <c r="G21" s="106"/>
      <c r="H21" s="53"/>
      <c r="I21" s="11"/>
      <c r="J21" s="11"/>
      <c r="K21" s="106"/>
      <c r="L21" s="222"/>
    </row>
    <row r="22" spans="1:12" ht="15" customHeight="1" outlineLevel="1" x14ac:dyDescent="0.25">
      <c r="A22" s="10"/>
      <c r="B22" s="43" t="s">
        <v>555</v>
      </c>
      <c r="C22" s="27"/>
      <c r="D22" s="222"/>
      <c r="E22" s="11"/>
      <c r="F22" s="11"/>
      <c r="G22" s="106"/>
      <c r="H22" s="53"/>
      <c r="I22" s="11"/>
      <c r="J22" s="11"/>
      <c r="K22" s="106"/>
      <c r="L22" s="222"/>
    </row>
    <row r="23" spans="1:12" ht="15" customHeight="1" outlineLevel="1" x14ac:dyDescent="0.25">
      <c r="A23" s="10"/>
      <c r="B23" s="43" t="s">
        <v>554</v>
      </c>
      <c r="C23" s="27"/>
      <c r="D23" s="222"/>
      <c r="E23" s="11"/>
      <c r="F23" s="11"/>
      <c r="G23" s="106"/>
      <c r="H23" s="53"/>
      <c r="I23" s="11"/>
      <c r="J23" s="11"/>
      <c r="K23" s="106"/>
      <c r="L23" s="222"/>
    </row>
    <row r="24" spans="1:12" s="571" customFormat="1" ht="15" customHeight="1" outlineLevel="1" x14ac:dyDescent="0.25">
      <c r="A24" s="260"/>
      <c r="B24" s="261" t="s">
        <v>67</v>
      </c>
      <c r="C24" s="270">
        <v>121295.62</v>
      </c>
      <c r="D24" s="389">
        <f>E24+F24+G24</f>
        <v>121295.62</v>
      </c>
      <c r="E24" s="257">
        <f>C24*0.82426</f>
        <v>99979.127741199991</v>
      </c>
      <c r="F24" s="257">
        <f>C24*0.05</f>
        <v>6064.7809999999999</v>
      </c>
      <c r="G24" s="269">
        <f>C24-E24-F24</f>
        <v>15251.711258800005</v>
      </c>
      <c r="H24" s="316">
        <f>I24+J24+K24</f>
        <v>121295.62</v>
      </c>
      <c r="I24" s="257">
        <v>99979.13</v>
      </c>
      <c r="J24" s="257">
        <v>6064.78</v>
      </c>
      <c r="K24" s="269">
        <v>15251.71</v>
      </c>
      <c r="L24" s="389" t="s">
        <v>746</v>
      </c>
    </row>
    <row r="25" spans="1:12" s="206" customFormat="1" ht="32.25" customHeight="1" x14ac:dyDescent="0.25">
      <c r="A25" s="195">
        <v>4</v>
      </c>
      <c r="B25" s="212" t="s">
        <v>394</v>
      </c>
      <c r="C25" s="63">
        <f>SUM(C26:C30)</f>
        <v>69506.009999999995</v>
      </c>
      <c r="D25" s="221">
        <f>E25+F25+G25</f>
        <v>69506.009999999995</v>
      </c>
      <c r="E25" s="75">
        <f>SUM(E26:E30)</f>
        <v>57291.023802599993</v>
      </c>
      <c r="F25" s="75">
        <f t="shared" ref="F25:G25" si="6">SUM(F26:F30)</f>
        <v>3475.3004999999998</v>
      </c>
      <c r="G25" s="75">
        <f t="shared" si="6"/>
        <v>8739.685697400002</v>
      </c>
      <c r="H25" s="40">
        <f>I25+J25+K25</f>
        <v>69506.009999999995</v>
      </c>
      <c r="I25" s="75">
        <f>SUM(I26:I30)</f>
        <v>57291.02</v>
      </c>
      <c r="J25" s="75">
        <f t="shared" ref="J25:K25" si="7">SUM(J26:J30)</f>
        <v>3475.3</v>
      </c>
      <c r="K25" s="75">
        <f t="shared" si="7"/>
        <v>8739.69</v>
      </c>
      <c r="L25" s="570"/>
    </row>
    <row r="26" spans="1:12" ht="15" customHeight="1" outlineLevel="1" x14ac:dyDescent="0.25">
      <c r="A26" s="10"/>
      <c r="B26" s="43" t="s">
        <v>65</v>
      </c>
      <c r="C26" s="27"/>
      <c r="D26" s="222"/>
      <c r="E26" s="11"/>
      <c r="F26" s="11"/>
      <c r="G26" s="106"/>
      <c r="H26" s="53"/>
      <c r="I26" s="11"/>
      <c r="J26" s="11"/>
      <c r="K26" s="106"/>
      <c r="L26" s="222"/>
    </row>
    <row r="27" spans="1:12" ht="15" customHeight="1" outlineLevel="1" x14ac:dyDescent="0.25">
      <c r="A27" s="10"/>
      <c r="B27" s="43" t="s">
        <v>66</v>
      </c>
      <c r="C27" s="27"/>
      <c r="D27" s="222"/>
      <c r="E27" s="11"/>
      <c r="F27" s="11"/>
      <c r="G27" s="106"/>
      <c r="H27" s="53"/>
      <c r="I27" s="11"/>
      <c r="J27" s="11"/>
      <c r="K27" s="106"/>
      <c r="L27" s="222"/>
    </row>
    <row r="28" spans="1:12" ht="15" customHeight="1" outlineLevel="1" x14ac:dyDescent="0.25">
      <c r="A28" s="10"/>
      <c r="B28" s="43" t="s">
        <v>561</v>
      </c>
      <c r="C28" s="27"/>
      <c r="D28" s="222"/>
      <c r="E28" s="11"/>
      <c r="F28" s="11"/>
      <c r="G28" s="106"/>
      <c r="H28" s="53"/>
      <c r="I28" s="11"/>
      <c r="J28" s="11"/>
      <c r="K28" s="106"/>
      <c r="L28" s="222"/>
    </row>
    <row r="29" spans="1:12" ht="15" customHeight="1" outlineLevel="1" x14ac:dyDescent="0.25">
      <c r="A29" s="10"/>
      <c r="B29" s="43" t="s">
        <v>554</v>
      </c>
      <c r="C29" s="27"/>
      <c r="D29" s="222"/>
      <c r="E29" s="11"/>
      <c r="F29" s="11"/>
      <c r="G29" s="106"/>
      <c r="H29" s="53"/>
      <c r="I29" s="11"/>
      <c r="J29" s="11"/>
      <c r="K29" s="106"/>
      <c r="L29" s="222"/>
    </row>
    <row r="30" spans="1:12" s="571" customFormat="1" ht="15" customHeight="1" outlineLevel="1" x14ac:dyDescent="0.25">
      <c r="A30" s="260"/>
      <c r="B30" s="261" t="s">
        <v>67</v>
      </c>
      <c r="C30" s="270">
        <v>69506.009999999995</v>
      </c>
      <c r="D30" s="389">
        <f>E30+F30+G30</f>
        <v>69506.009999999995</v>
      </c>
      <c r="E30" s="257">
        <f>C30*0.82426</f>
        <v>57291.023802599993</v>
      </c>
      <c r="F30" s="257">
        <f>C30*0.05</f>
        <v>3475.3004999999998</v>
      </c>
      <c r="G30" s="269">
        <f>C30-E30-F30</f>
        <v>8739.685697400002</v>
      </c>
      <c r="H30" s="316">
        <f>I30+J30+K30</f>
        <v>69506.009999999995</v>
      </c>
      <c r="I30" s="257">
        <v>57291.02</v>
      </c>
      <c r="J30" s="257">
        <v>3475.3</v>
      </c>
      <c r="K30" s="269">
        <v>8739.69</v>
      </c>
      <c r="L30" s="389" t="s">
        <v>746</v>
      </c>
    </row>
    <row r="31" spans="1:12" s="206" customFormat="1" ht="33" customHeight="1" x14ac:dyDescent="0.25">
      <c r="A31" s="195">
        <v>5</v>
      </c>
      <c r="B31" s="60" t="s">
        <v>396</v>
      </c>
      <c r="C31" s="63">
        <f>SUM(C32:C34)</f>
        <v>59969.54</v>
      </c>
      <c r="D31" s="221">
        <f>E31+F31+G31</f>
        <v>59969.54</v>
      </c>
      <c r="E31" s="75">
        <f>SUM(E32:E34)</f>
        <v>49430.493040399997</v>
      </c>
      <c r="F31" s="75">
        <f t="shared" ref="F31:G31" si="8">SUM(F32:F34)</f>
        <v>2998.4770000000003</v>
      </c>
      <c r="G31" s="75">
        <f t="shared" si="8"/>
        <v>7540.5699596000031</v>
      </c>
      <c r="H31" s="40">
        <f>I31+J31+K31</f>
        <v>59969.54</v>
      </c>
      <c r="I31" s="75">
        <f>SUM(I32:I34)</f>
        <v>49430.49</v>
      </c>
      <c r="J31" s="75">
        <f t="shared" ref="J31:K31" si="9">SUM(J32:J34)</f>
        <v>2998.48</v>
      </c>
      <c r="K31" s="75">
        <f t="shared" si="9"/>
        <v>7540.57</v>
      </c>
      <c r="L31" s="570"/>
    </row>
    <row r="32" spans="1:12" outlineLevel="1" x14ac:dyDescent="0.25">
      <c r="A32" s="10"/>
      <c r="B32" s="43" t="s">
        <v>555</v>
      </c>
      <c r="C32" s="27"/>
      <c r="D32" s="222"/>
      <c r="E32" s="11"/>
      <c r="F32" s="11"/>
      <c r="G32" s="106"/>
      <c r="H32" s="53"/>
      <c r="I32" s="11"/>
      <c r="J32" s="11"/>
      <c r="K32" s="106"/>
      <c r="L32" s="222"/>
    </row>
    <row r="33" spans="1:12" outlineLevel="1" x14ac:dyDescent="0.25">
      <c r="A33" s="10"/>
      <c r="B33" s="43" t="s">
        <v>554</v>
      </c>
      <c r="C33" s="27"/>
      <c r="D33" s="222"/>
      <c r="E33" s="11"/>
      <c r="F33" s="11"/>
      <c r="G33" s="106"/>
      <c r="H33" s="53"/>
      <c r="I33" s="11"/>
      <c r="J33" s="11"/>
      <c r="K33" s="106"/>
      <c r="L33" s="222"/>
    </row>
    <row r="34" spans="1:12" s="571" customFormat="1" outlineLevel="1" x14ac:dyDescent="0.25">
      <c r="A34" s="260"/>
      <c r="B34" s="261" t="s">
        <v>67</v>
      </c>
      <c r="C34" s="270">
        <v>59969.54</v>
      </c>
      <c r="D34" s="389">
        <f>E34+F34+G34</f>
        <v>59969.54</v>
      </c>
      <c r="E34" s="257">
        <f>C34*0.82426</f>
        <v>49430.493040399997</v>
      </c>
      <c r="F34" s="257">
        <f>C34*0.05</f>
        <v>2998.4770000000003</v>
      </c>
      <c r="G34" s="269">
        <f>C34-E34-F34</f>
        <v>7540.5699596000031</v>
      </c>
      <c r="H34" s="316">
        <f>I34+J34+K34</f>
        <v>59969.54</v>
      </c>
      <c r="I34" s="257">
        <v>49430.49</v>
      </c>
      <c r="J34" s="257">
        <v>2998.48</v>
      </c>
      <c r="K34" s="269">
        <v>7540.57</v>
      </c>
      <c r="L34" s="389" t="s">
        <v>746</v>
      </c>
    </row>
    <row r="35" spans="1:12" s="206" customFormat="1" ht="29.25" customHeight="1" x14ac:dyDescent="0.25">
      <c r="A35" s="195">
        <v>6</v>
      </c>
      <c r="B35" s="212" t="s">
        <v>397</v>
      </c>
      <c r="C35" s="63">
        <f>SUM(C36:C38)</f>
        <v>106949.39</v>
      </c>
      <c r="D35" s="221">
        <f>E35+F35+G35</f>
        <v>106949.39000000001</v>
      </c>
      <c r="E35" s="75">
        <f>SUM(E36:E38)</f>
        <v>88154.104201399998</v>
      </c>
      <c r="F35" s="75">
        <f t="shared" ref="F35" si="10">SUM(F36:F38)</f>
        <v>5347.4695000000002</v>
      </c>
      <c r="G35" s="75">
        <f t="shared" ref="G35" si="11">SUM(G36:G38)</f>
        <v>13447.816298600002</v>
      </c>
      <c r="H35" s="40">
        <f>I35+J35+K35</f>
        <v>106949.39000000001</v>
      </c>
      <c r="I35" s="75">
        <f>SUM(I36:I38)</f>
        <v>88154.1</v>
      </c>
      <c r="J35" s="75">
        <f t="shared" ref="J35:K35" si="12">SUM(J36:J38)</f>
        <v>5347.47</v>
      </c>
      <c r="K35" s="75">
        <f t="shared" si="12"/>
        <v>13447.82</v>
      </c>
      <c r="L35" s="570"/>
    </row>
    <row r="36" spans="1:12" ht="15" customHeight="1" outlineLevel="1" x14ac:dyDescent="0.25">
      <c r="A36" s="10"/>
      <c r="B36" s="43" t="s">
        <v>555</v>
      </c>
      <c r="C36" s="27"/>
      <c r="D36" s="222"/>
      <c r="E36" s="11"/>
      <c r="F36" s="11"/>
      <c r="G36" s="106"/>
      <c r="H36" s="53"/>
      <c r="I36" s="11"/>
      <c r="J36" s="11"/>
      <c r="K36" s="106"/>
      <c r="L36" s="222"/>
    </row>
    <row r="37" spans="1:12" ht="15" customHeight="1" outlineLevel="1" x14ac:dyDescent="0.25">
      <c r="A37" s="10"/>
      <c r="B37" s="43" t="s">
        <v>554</v>
      </c>
      <c r="C37" s="27"/>
      <c r="D37" s="222"/>
      <c r="E37" s="11"/>
      <c r="F37" s="11"/>
      <c r="G37" s="106"/>
      <c r="H37" s="53"/>
      <c r="I37" s="11"/>
      <c r="J37" s="11"/>
      <c r="K37" s="106"/>
      <c r="L37" s="222"/>
    </row>
    <row r="38" spans="1:12" s="571" customFormat="1" ht="15" customHeight="1" outlineLevel="1" x14ac:dyDescent="0.25">
      <c r="A38" s="260"/>
      <c r="B38" s="261" t="s">
        <v>67</v>
      </c>
      <c r="C38" s="270">
        <v>106949.39</v>
      </c>
      <c r="D38" s="389">
        <f>E38+F38+G38</f>
        <v>106949.39000000001</v>
      </c>
      <c r="E38" s="257">
        <f>C38*0.82426</f>
        <v>88154.104201399998</v>
      </c>
      <c r="F38" s="257">
        <f>C38*0.05</f>
        <v>5347.4695000000002</v>
      </c>
      <c r="G38" s="269">
        <f>C38-E38-F38</f>
        <v>13447.816298600002</v>
      </c>
      <c r="H38" s="316">
        <f>I38+J38+K38</f>
        <v>106949.39000000001</v>
      </c>
      <c r="I38" s="257">
        <v>88154.1</v>
      </c>
      <c r="J38" s="257">
        <v>5347.47</v>
      </c>
      <c r="K38" s="269">
        <v>13447.82</v>
      </c>
      <c r="L38" s="389" t="s">
        <v>746</v>
      </c>
    </row>
    <row r="39" spans="1:12" s="206" customFormat="1" ht="27" customHeight="1" x14ac:dyDescent="0.25">
      <c r="A39" s="195">
        <v>7</v>
      </c>
      <c r="B39" s="212" t="s">
        <v>400</v>
      </c>
      <c r="C39" s="63">
        <f>SUM(C40:C42)</f>
        <v>0</v>
      </c>
      <c r="D39" s="221">
        <f>E39+F39+G39</f>
        <v>0</v>
      </c>
      <c r="E39" s="75">
        <f>SUM(E40:E42)</f>
        <v>0</v>
      </c>
      <c r="F39" s="75">
        <f t="shared" ref="F39" si="13">SUM(F40:F42)</f>
        <v>0</v>
      </c>
      <c r="G39" s="75">
        <f t="shared" ref="G39" si="14">SUM(G40:G42)</f>
        <v>0</v>
      </c>
      <c r="H39" s="323"/>
      <c r="I39" s="189"/>
      <c r="J39" s="189"/>
      <c r="K39" s="324"/>
      <c r="L39" s="570"/>
    </row>
    <row r="40" spans="1:12" ht="15" customHeight="1" outlineLevel="1" x14ac:dyDescent="0.25">
      <c r="A40" s="10"/>
      <c r="B40" s="43" t="s">
        <v>557</v>
      </c>
      <c r="C40" s="27"/>
      <c r="D40" s="222"/>
      <c r="E40" s="11"/>
      <c r="F40" s="11"/>
      <c r="G40" s="106"/>
      <c r="H40" s="53"/>
      <c r="I40" s="11"/>
      <c r="J40" s="11"/>
      <c r="K40" s="106"/>
      <c r="L40" s="222"/>
    </row>
    <row r="41" spans="1:12" ht="15" customHeight="1" outlineLevel="1" x14ac:dyDescent="0.25">
      <c r="A41" s="10"/>
      <c r="B41" s="43" t="s">
        <v>554</v>
      </c>
      <c r="C41" s="27"/>
      <c r="D41" s="222"/>
      <c r="E41" s="11"/>
      <c r="F41" s="11"/>
      <c r="G41" s="106"/>
      <c r="H41" s="53"/>
      <c r="I41" s="11"/>
      <c r="J41" s="11"/>
      <c r="K41" s="106"/>
      <c r="L41" s="222"/>
    </row>
    <row r="42" spans="1:12" ht="15" customHeight="1" outlineLevel="1" x14ac:dyDescent="0.25">
      <c r="A42" s="10"/>
      <c r="B42" s="43" t="s">
        <v>67</v>
      </c>
      <c r="C42" s="27"/>
      <c r="D42" s="222"/>
      <c r="E42" s="11"/>
      <c r="F42" s="11"/>
      <c r="G42" s="106"/>
      <c r="H42" s="53"/>
      <c r="I42" s="11"/>
      <c r="J42" s="11"/>
      <c r="K42" s="106"/>
      <c r="L42" s="222"/>
    </row>
    <row r="43" spans="1:12" s="206" customFormat="1" ht="36" customHeight="1" x14ac:dyDescent="0.25">
      <c r="A43" s="195">
        <v>8</v>
      </c>
      <c r="B43" s="60" t="s">
        <v>398</v>
      </c>
      <c r="C43" s="63">
        <f>SUM(C44:C46)</f>
        <v>72137.48</v>
      </c>
      <c r="D43" s="221">
        <f>E43+F43+G43</f>
        <v>72137.48</v>
      </c>
      <c r="E43" s="75">
        <f>SUM(E44:E46)</f>
        <v>59460.039264799998</v>
      </c>
      <c r="F43" s="75">
        <f t="shared" ref="F43" si="15">SUM(F44:F46)</f>
        <v>3606.8739999999998</v>
      </c>
      <c r="G43" s="75">
        <f t="shared" ref="G43" si="16">SUM(G44:G46)</f>
        <v>9070.5667351999982</v>
      </c>
      <c r="H43" s="40">
        <f>I43+J43+K43</f>
        <v>72137.48000000001</v>
      </c>
      <c r="I43" s="75">
        <f>SUM(I44:I46)</f>
        <v>59460.04</v>
      </c>
      <c r="J43" s="75">
        <f>SUM(J44:J46)</f>
        <v>3606.87</v>
      </c>
      <c r="K43" s="75">
        <f>SUM(K44:K46)</f>
        <v>9070.57</v>
      </c>
      <c r="L43" s="570"/>
    </row>
    <row r="44" spans="1:12" outlineLevel="1" x14ac:dyDescent="0.25">
      <c r="A44" s="10"/>
      <c r="B44" s="43" t="s">
        <v>555</v>
      </c>
      <c r="C44" s="27"/>
      <c r="D44" s="222"/>
      <c r="E44" s="11"/>
      <c r="F44" s="11"/>
      <c r="G44" s="106"/>
      <c r="H44" s="53"/>
      <c r="I44" s="11"/>
      <c r="J44" s="11"/>
      <c r="K44" s="106"/>
      <c r="L44" s="222"/>
    </row>
    <row r="45" spans="1:12" outlineLevel="1" x14ac:dyDescent="0.25">
      <c r="A45" s="10"/>
      <c r="B45" s="43" t="s">
        <v>554</v>
      </c>
      <c r="C45" s="27"/>
      <c r="D45" s="222"/>
      <c r="E45" s="11"/>
      <c r="F45" s="11"/>
      <c r="G45" s="106"/>
      <c r="H45" s="53"/>
      <c r="I45" s="11"/>
      <c r="J45" s="11"/>
      <c r="K45" s="106"/>
      <c r="L45" s="222"/>
    </row>
    <row r="46" spans="1:12" s="571" customFormat="1" outlineLevel="1" x14ac:dyDescent="0.25">
      <c r="A46" s="260"/>
      <c r="B46" s="261" t="s">
        <v>67</v>
      </c>
      <c r="C46" s="270">
        <v>72137.48</v>
      </c>
      <c r="D46" s="389">
        <f>E46+F46+G46</f>
        <v>72137.48</v>
      </c>
      <c r="E46" s="257">
        <f>C46*0.82426</f>
        <v>59460.039264799998</v>
      </c>
      <c r="F46" s="257">
        <f>C46*0.05</f>
        <v>3606.8739999999998</v>
      </c>
      <c r="G46" s="269">
        <f>C46-E46-F46</f>
        <v>9070.5667351999982</v>
      </c>
      <c r="H46" s="316">
        <f>I46+J46+K46</f>
        <v>72137.48000000001</v>
      </c>
      <c r="I46" s="257">
        <v>59460.04</v>
      </c>
      <c r="J46" s="257">
        <v>3606.87</v>
      </c>
      <c r="K46" s="269">
        <v>9070.57</v>
      </c>
      <c r="L46" s="389" t="s">
        <v>746</v>
      </c>
    </row>
    <row r="47" spans="1:12" s="206" customFormat="1" ht="32.25" customHeight="1" x14ac:dyDescent="0.25">
      <c r="A47" s="195">
        <v>9</v>
      </c>
      <c r="B47" s="212" t="s">
        <v>399</v>
      </c>
      <c r="C47" s="63">
        <f>SUM(C48:C50)</f>
        <v>74223.23</v>
      </c>
      <c r="D47" s="221">
        <f>E47+F47+G47</f>
        <v>74223.23</v>
      </c>
      <c r="E47" s="75">
        <f>SUM(E48:E50)</f>
        <v>61179.239559799993</v>
      </c>
      <c r="F47" s="75">
        <f t="shared" ref="F47" si="17">SUM(F48:F50)</f>
        <v>3711.1615000000002</v>
      </c>
      <c r="G47" s="75">
        <f t="shared" ref="G47" si="18">SUM(G48:G50)</f>
        <v>9332.8289402000028</v>
      </c>
      <c r="H47" s="40">
        <f>I47+J47+K47</f>
        <v>74223.22</v>
      </c>
      <c r="I47" s="75">
        <f>SUM(I48:I50)</f>
        <v>61179.23</v>
      </c>
      <c r="J47" s="75">
        <f t="shared" ref="J47:K47" si="19">SUM(J48:J50)</f>
        <v>3711.16</v>
      </c>
      <c r="K47" s="75">
        <f t="shared" si="19"/>
        <v>9332.83</v>
      </c>
      <c r="L47" s="570"/>
    </row>
    <row r="48" spans="1:12" ht="15" customHeight="1" outlineLevel="1" x14ac:dyDescent="0.25">
      <c r="A48" s="10"/>
      <c r="B48" s="43" t="s">
        <v>555</v>
      </c>
      <c r="C48" s="27"/>
      <c r="D48" s="222"/>
      <c r="E48" s="11"/>
      <c r="F48" s="11"/>
      <c r="G48" s="106"/>
      <c r="H48" s="53"/>
      <c r="I48" s="11"/>
      <c r="J48" s="11"/>
      <c r="K48" s="106"/>
      <c r="L48" s="222"/>
    </row>
    <row r="49" spans="1:12" ht="15" customHeight="1" outlineLevel="1" x14ac:dyDescent="0.25">
      <c r="A49" s="10"/>
      <c r="B49" s="43" t="s">
        <v>554</v>
      </c>
      <c r="C49" s="27"/>
      <c r="D49" s="222"/>
      <c r="E49" s="11"/>
      <c r="F49" s="11"/>
      <c r="G49" s="106"/>
      <c r="H49" s="53"/>
      <c r="I49" s="11"/>
      <c r="J49" s="11"/>
      <c r="K49" s="106"/>
      <c r="L49" s="222"/>
    </row>
    <row r="50" spans="1:12" s="571" customFormat="1" ht="15" customHeight="1" outlineLevel="1" x14ac:dyDescent="0.25">
      <c r="A50" s="267"/>
      <c r="B50" s="261" t="s">
        <v>67</v>
      </c>
      <c r="C50" s="572">
        <v>74223.23</v>
      </c>
      <c r="D50" s="389">
        <f>E50+F50+G50</f>
        <v>74223.23</v>
      </c>
      <c r="E50" s="257">
        <f>C50*0.82426</f>
        <v>61179.239559799993</v>
      </c>
      <c r="F50" s="257">
        <f>C50*0.05</f>
        <v>3711.1615000000002</v>
      </c>
      <c r="G50" s="269">
        <f>C50-E50-F50</f>
        <v>9332.8289402000028</v>
      </c>
      <c r="H50" s="573">
        <f>I50+J50+K50</f>
        <v>74223.22</v>
      </c>
      <c r="I50" s="574">
        <v>61179.23</v>
      </c>
      <c r="J50" s="574">
        <v>3711.16</v>
      </c>
      <c r="K50" s="575">
        <v>9332.83</v>
      </c>
      <c r="L50" s="389" t="s">
        <v>746</v>
      </c>
    </row>
    <row r="51" spans="1:12" s="206" customFormat="1" ht="27.75" customHeight="1" thickBot="1" x14ac:dyDescent="0.3">
      <c r="A51" s="126">
        <v>10</v>
      </c>
      <c r="B51" s="183" t="s">
        <v>556</v>
      </c>
      <c r="C51" s="426"/>
      <c r="D51" s="425"/>
      <c r="E51" s="192"/>
      <c r="F51" s="192"/>
      <c r="G51" s="349"/>
      <c r="H51" s="191"/>
      <c r="I51" s="192"/>
      <c r="J51" s="192"/>
      <c r="K51" s="349"/>
      <c r="L51" s="570"/>
    </row>
    <row r="52" spans="1:12" x14ac:dyDescent="0.25"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5.75" thickBot="1" x14ac:dyDescent="0.3"/>
    <row r="54" spans="1:12" x14ac:dyDescent="0.25">
      <c r="B54" s="276" t="s">
        <v>64</v>
      </c>
      <c r="C54" s="279">
        <f t="shared" ref="C54:K54" si="20">C8+C21</f>
        <v>0</v>
      </c>
      <c r="D54" s="279">
        <f t="shared" si="20"/>
        <v>0</v>
      </c>
      <c r="E54" s="279">
        <f t="shared" si="20"/>
        <v>0</v>
      </c>
      <c r="F54" s="279">
        <f t="shared" si="20"/>
        <v>0</v>
      </c>
      <c r="G54" s="279">
        <f t="shared" si="20"/>
        <v>0</v>
      </c>
      <c r="H54" s="279">
        <f t="shared" si="20"/>
        <v>0</v>
      </c>
      <c r="I54" s="279">
        <f t="shared" si="20"/>
        <v>0</v>
      </c>
      <c r="J54" s="279">
        <f t="shared" si="20"/>
        <v>0</v>
      </c>
      <c r="K54" s="277">
        <f t="shared" si="20"/>
        <v>0</v>
      </c>
    </row>
    <row r="55" spans="1:12" x14ac:dyDescent="0.25">
      <c r="B55" s="278" t="s">
        <v>65</v>
      </c>
      <c r="C55" s="12">
        <f t="shared" ref="C55:K55" si="21">C9+C26</f>
        <v>0</v>
      </c>
      <c r="D55" s="12">
        <f t="shared" si="21"/>
        <v>0</v>
      </c>
      <c r="E55" s="12">
        <f t="shared" si="21"/>
        <v>0</v>
      </c>
      <c r="F55" s="12">
        <f t="shared" si="21"/>
        <v>0</v>
      </c>
      <c r="G55" s="12">
        <f t="shared" si="21"/>
        <v>0</v>
      </c>
      <c r="H55" s="12">
        <f t="shared" si="21"/>
        <v>0</v>
      </c>
      <c r="I55" s="12">
        <f t="shared" si="21"/>
        <v>0</v>
      </c>
      <c r="J55" s="12">
        <f t="shared" si="21"/>
        <v>0</v>
      </c>
      <c r="K55" s="16">
        <f t="shared" si="21"/>
        <v>0</v>
      </c>
    </row>
    <row r="56" spans="1:12" x14ac:dyDescent="0.25">
      <c r="B56" s="278" t="s">
        <v>66</v>
      </c>
      <c r="C56" s="12">
        <f t="shared" ref="C56:K56" si="22">C10+C15+C27</f>
        <v>0</v>
      </c>
      <c r="D56" s="12">
        <f t="shared" si="22"/>
        <v>0</v>
      </c>
      <c r="E56" s="12">
        <f t="shared" si="22"/>
        <v>0</v>
      </c>
      <c r="F56" s="12">
        <f t="shared" si="22"/>
        <v>0</v>
      </c>
      <c r="G56" s="12">
        <f t="shared" si="22"/>
        <v>0</v>
      </c>
      <c r="H56" s="12">
        <f t="shared" si="22"/>
        <v>0</v>
      </c>
      <c r="I56" s="12">
        <f t="shared" si="22"/>
        <v>0</v>
      </c>
      <c r="J56" s="12">
        <f t="shared" si="22"/>
        <v>0</v>
      </c>
      <c r="K56" s="16">
        <f t="shared" si="22"/>
        <v>0</v>
      </c>
    </row>
    <row r="57" spans="1:12" x14ac:dyDescent="0.25">
      <c r="B57" s="278" t="s">
        <v>555</v>
      </c>
      <c r="C57" s="12">
        <f t="shared" ref="C57:K57" si="23">C16+C22+C32+C36+C44+C48</f>
        <v>0</v>
      </c>
      <c r="D57" s="12">
        <f t="shared" si="23"/>
        <v>0</v>
      </c>
      <c r="E57" s="12">
        <f t="shared" si="23"/>
        <v>0</v>
      </c>
      <c r="F57" s="12">
        <f t="shared" si="23"/>
        <v>0</v>
      </c>
      <c r="G57" s="12">
        <f t="shared" si="23"/>
        <v>0</v>
      </c>
      <c r="H57" s="12">
        <f t="shared" si="23"/>
        <v>0</v>
      </c>
      <c r="I57" s="12">
        <f t="shared" si="23"/>
        <v>0</v>
      </c>
      <c r="J57" s="12">
        <f t="shared" si="23"/>
        <v>0</v>
      </c>
      <c r="K57" s="16">
        <f t="shared" si="23"/>
        <v>0</v>
      </c>
    </row>
    <row r="58" spans="1:12" x14ac:dyDescent="0.25">
      <c r="B58" s="278" t="s">
        <v>557</v>
      </c>
      <c r="C58" s="12">
        <f t="shared" ref="C58:K58" si="24">C11+C40</f>
        <v>0</v>
      </c>
      <c r="D58" s="12">
        <f t="shared" si="24"/>
        <v>0</v>
      </c>
      <c r="E58" s="12">
        <f t="shared" si="24"/>
        <v>0</v>
      </c>
      <c r="F58" s="12">
        <f t="shared" si="24"/>
        <v>0</v>
      </c>
      <c r="G58" s="12">
        <f t="shared" si="24"/>
        <v>0</v>
      </c>
      <c r="H58" s="12">
        <f t="shared" si="24"/>
        <v>0</v>
      </c>
      <c r="I58" s="12">
        <f t="shared" si="24"/>
        <v>0</v>
      </c>
      <c r="J58" s="12">
        <f t="shared" si="24"/>
        <v>0</v>
      </c>
      <c r="K58" s="16">
        <f t="shared" si="24"/>
        <v>0</v>
      </c>
    </row>
    <row r="59" spans="1:12" x14ac:dyDescent="0.25">
      <c r="B59" s="278" t="s">
        <v>564</v>
      </c>
      <c r="C59" s="12">
        <f t="shared" ref="C59:K59" si="25">C17</f>
        <v>0</v>
      </c>
      <c r="D59" s="12">
        <f t="shared" si="25"/>
        <v>0</v>
      </c>
      <c r="E59" s="12">
        <f t="shared" si="25"/>
        <v>0</v>
      </c>
      <c r="F59" s="12">
        <f t="shared" si="25"/>
        <v>0</v>
      </c>
      <c r="G59" s="12">
        <f t="shared" si="25"/>
        <v>0</v>
      </c>
      <c r="H59" s="12">
        <f t="shared" si="25"/>
        <v>0</v>
      </c>
      <c r="I59" s="12">
        <f t="shared" si="25"/>
        <v>0</v>
      </c>
      <c r="J59" s="12">
        <f t="shared" si="25"/>
        <v>0</v>
      </c>
      <c r="K59" s="16">
        <f t="shared" si="25"/>
        <v>0</v>
      </c>
    </row>
    <row r="60" spans="1:12" x14ac:dyDescent="0.25">
      <c r="B60" s="278" t="s">
        <v>561</v>
      </c>
      <c r="C60" s="12">
        <f t="shared" ref="C60:K60" si="26">C28</f>
        <v>0</v>
      </c>
      <c r="D60" s="12">
        <f t="shared" si="26"/>
        <v>0</v>
      </c>
      <c r="E60" s="12">
        <f t="shared" si="26"/>
        <v>0</v>
      </c>
      <c r="F60" s="12">
        <f t="shared" si="26"/>
        <v>0</v>
      </c>
      <c r="G60" s="12">
        <f t="shared" si="26"/>
        <v>0</v>
      </c>
      <c r="H60" s="12">
        <f t="shared" si="26"/>
        <v>0</v>
      </c>
      <c r="I60" s="12">
        <f t="shared" si="26"/>
        <v>0</v>
      </c>
      <c r="J60" s="12">
        <f t="shared" si="26"/>
        <v>0</v>
      </c>
      <c r="K60" s="16">
        <f t="shared" si="26"/>
        <v>0</v>
      </c>
    </row>
    <row r="61" spans="1:12" x14ac:dyDescent="0.25">
      <c r="B61" s="278" t="s">
        <v>554</v>
      </c>
      <c r="C61" s="12">
        <f t="shared" ref="C61:K61" si="27">C12+C18+C23+C29+C33+C37+C41+C45+C49</f>
        <v>0</v>
      </c>
      <c r="D61" s="12">
        <f t="shared" si="27"/>
        <v>0</v>
      </c>
      <c r="E61" s="12">
        <f t="shared" si="27"/>
        <v>0</v>
      </c>
      <c r="F61" s="12">
        <f t="shared" si="27"/>
        <v>0</v>
      </c>
      <c r="G61" s="12">
        <f t="shared" si="27"/>
        <v>0</v>
      </c>
      <c r="H61" s="12">
        <f t="shared" si="27"/>
        <v>0</v>
      </c>
      <c r="I61" s="12">
        <f t="shared" si="27"/>
        <v>0</v>
      </c>
      <c r="J61" s="12">
        <f t="shared" si="27"/>
        <v>0</v>
      </c>
      <c r="K61" s="16">
        <f t="shared" si="27"/>
        <v>0</v>
      </c>
    </row>
    <row r="62" spans="1:12" x14ac:dyDescent="0.25">
      <c r="B62" s="281" t="s">
        <v>67</v>
      </c>
      <c r="C62" s="12">
        <f>C51+C13+C19+C30+C42+C24+C34+C38+C46+C50</f>
        <v>721648.47</v>
      </c>
      <c r="D62" s="12">
        <f t="shared" ref="D62:K62" si="28">D51+D13+D19+D30+D42+D24+D34+D38+D46+D50</f>
        <v>721648.47</v>
      </c>
      <c r="E62" s="12">
        <f t="shared" si="28"/>
        <v>594825.96788219991</v>
      </c>
      <c r="F62" s="12">
        <f t="shared" si="28"/>
        <v>36082.423499999997</v>
      </c>
      <c r="G62" s="12">
        <f t="shared" si="28"/>
        <v>90740.078617800027</v>
      </c>
      <c r="H62" s="12">
        <f t="shared" si="28"/>
        <v>721648.46</v>
      </c>
      <c r="I62" s="12">
        <f t="shared" si="28"/>
        <v>594825.94999999995</v>
      </c>
      <c r="J62" s="12">
        <f t="shared" si="28"/>
        <v>36082.42</v>
      </c>
      <c r="K62" s="12">
        <f t="shared" si="28"/>
        <v>90740.090000000011</v>
      </c>
      <c r="L62">
        <v>8</v>
      </c>
    </row>
    <row r="63" spans="1:12" ht="15.75" thickBot="1" x14ac:dyDescent="0.3">
      <c r="B63" s="282" t="s">
        <v>625</v>
      </c>
      <c r="C63" s="18">
        <f t="shared" ref="C63:K63" si="29">SUBTOTAL(9,C54:C62)</f>
        <v>721648.47</v>
      </c>
      <c r="D63" s="18">
        <f t="shared" si="29"/>
        <v>721648.47</v>
      </c>
      <c r="E63" s="18">
        <f t="shared" si="29"/>
        <v>594825.96788219991</v>
      </c>
      <c r="F63" s="18">
        <f t="shared" si="29"/>
        <v>36082.423499999997</v>
      </c>
      <c r="G63" s="18">
        <f t="shared" si="29"/>
        <v>90740.078617800027</v>
      </c>
      <c r="H63" s="18">
        <f t="shared" si="29"/>
        <v>721648.46</v>
      </c>
      <c r="I63" s="18">
        <f t="shared" si="29"/>
        <v>594825.94999999995</v>
      </c>
      <c r="J63" s="18">
        <f t="shared" si="29"/>
        <v>36082.42</v>
      </c>
      <c r="K63" s="19">
        <f t="shared" si="29"/>
        <v>90740.090000000011</v>
      </c>
    </row>
    <row r="64" spans="1:12" x14ac:dyDescent="0.25">
      <c r="B64" s="71"/>
      <c r="C64" s="96">
        <f t="shared" ref="C64:K64" si="30">C6</f>
        <v>721648.47</v>
      </c>
      <c r="D64" s="96">
        <f t="shared" si="30"/>
        <v>721648.47</v>
      </c>
      <c r="E64" s="96">
        <f t="shared" si="30"/>
        <v>594825.96788219991</v>
      </c>
      <c r="F64" s="96">
        <f t="shared" si="30"/>
        <v>36082.423499999997</v>
      </c>
      <c r="G64" s="96">
        <f t="shared" si="30"/>
        <v>90740.078617800027</v>
      </c>
      <c r="H64" s="96">
        <f t="shared" si="30"/>
        <v>721648.46000000008</v>
      </c>
      <c r="I64" s="96">
        <f t="shared" si="30"/>
        <v>594825.95000000007</v>
      </c>
      <c r="J64" s="96">
        <f t="shared" si="30"/>
        <v>36082.42</v>
      </c>
      <c r="K64" s="96">
        <f t="shared" si="30"/>
        <v>90740.090000000011</v>
      </c>
    </row>
    <row r="65" spans="2:11" x14ac:dyDescent="0.25">
      <c r="B65" s="96" t="s">
        <v>627</v>
      </c>
      <c r="C65" s="96">
        <f t="shared" ref="C65:K65" si="31">C63-C64</f>
        <v>0</v>
      </c>
      <c r="D65" s="96">
        <f t="shared" si="31"/>
        <v>0</v>
      </c>
      <c r="E65" s="96">
        <f t="shared" si="31"/>
        <v>0</v>
      </c>
      <c r="F65" s="96">
        <f t="shared" si="31"/>
        <v>0</v>
      </c>
      <c r="G65" s="96">
        <f t="shared" si="31"/>
        <v>0</v>
      </c>
      <c r="H65" s="96">
        <f t="shared" si="31"/>
        <v>0</v>
      </c>
      <c r="I65" s="96">
        <f t="shared" si="31"/>
        <v>0</v>
      </c>
      <c r="J65" s="96">
        <f t="shared" si="31"/>
        <v>0</v>
      </c>
      <c r="K65" s="96">
        <f t="shared" si="31"/>
        <v>0</v>
      </c>
    </row>
  </sheetData>
  <autoFilter ref="A7:L51"/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5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5"/>
  </sheetPr>
  <dimension ref="A1:M583"/>
  <sheetViews>
    <sheetView view="pageBreakPreview" zoomScale="70" zoomScaleNormal="70" zoomScaleSheetLayoutView="70" workbookViewId="0">
      <pane ySplit="5" topLeftCell="A6" activePane="bottomLeft" state="frozen"/>
      <selection pane="bottomLeft" activeCell="K5" sqref="K5"/>
    </sheetView>
  </sheetViews>
  <sheetFormatPr defaultColWidth="9.140625" defaultRowHeight="15" outlineLevelRow="1" x14ac:dyDescent="0.25"/>
  <cols>
    <col min="1" max="1" width="4.42578125" style="82" customWidth="1"/>
    <col min="2" max="2" width="57.140625" style="69" customWidth="1"/>
    <col min="3" max="3" width="15.5703125" style="55" customWidth="1"/>
    <col min="4" max="4" width="16.7109375" style="62" customWidth="1"/>
    <col min="5" max="5" width="15.7109375" style="62" customWidth="1"/>
    <col min="6" max="6" width="14.7109375" style="62" customWidth="1"/>
    <col min="7" max="7" width="15.5703125" style="62" customWidth="1"/>
    <col min="8" max="8" width="18" style="62" customWidth="1"/>
    <col min="9" max="9" width="17.7109375" style="62" customWidth="1"/>
    <col min="10" max="10" width="14.28515625" style="62" customWidth="1"/>
    <col min="11" max="11" width="15.85546875" style="62" customWidth="1"/>
    <col min="12" max="12" width="19.5703125" style="62" customWidth="1"/>
    <col min="13" max="13" width="11.5703125" style="642" customWidth="1"/>
    <col min="14" max="16384" width="9.140625" style="62"/>
  </cols>
  <sheetData>
    <row r="1" spans="1:13" x14ac:dyDescent="0.25">
      <c r="A1" s="830" t="s">
        <v>894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</row>
    <row r="2" spans="1:13" x14ac:dyDescent="0.25">
      <c r="A2" s="830"/>
      <c r="B2" s="830"/>
      <c r="C2" s="830"/>
      <c r="D2" s="830"/>
      <c r="E2" s="830"/>
      <c r="F2" s="830"/>
      <c r="G2" s="830"/>
      <c r="H2" s="830"/>
      <c r="I2" s="830"/>
      <c r="J2" s="830"/>
      <c r="K2" s="830"/>
      <c r="L2" s="830"/>
    </row>
    <row r="3" spans="1:13" ht="4.5" customHeight="1" thickBot="1" x14ac:dyDescent="0.3">
      <c r="A3" s="831"/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</row>
    <row r="4" spans="1:13" s="61" customFormat="1" ht="32.25" customHeight="1" x14ac:dyDescent="0.25">
      <c r="A4" s="832" t="s">
        <v>0</v>
      </c>
      <c r="B4" s="788" t="s">
        <v>1</v>
      </c>
      <c r="C4" s="729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8"/>
      <c r="L4" s="751" t="s">
        <v>716</v>
      </c>
      <c r="M4" s="829" t="s">
        <v>762</v>
      </c>
    </row>
    <row r="5" spans="1:13" s="61" customFormat="1" ht="52.5" customHeight="1" x14ac:dyDescent="0.25">
      <c r="A5" s="833"/>
      <c r="B5" s="789"/>
      <c r="C5" s="730"/>
      <c r="D5" s="37" t="s">
        <v>2</v>
      </c>
      <c r="E5" s="540" t="s">
        <v>3</v>
      </c>
      <c r="F5" s="540" t="s">
        <v>717</v>
      </c>
      <c r="G5" s="541" t="s">
        <v>5</v>
      </c>
      <c r="H5" s="542" t="s">
        <v>2</v>
      </c>
      <c r="I5" s="540" t="s">
        <v>3</v>
      </c>
      <c r="J5" s="540" t="s">
        <v>717</v>
      </c>
      <c r="K5" s="537" t="s">
        <v>5</v>
      </c>
      <c r="L5" s="752"/>
      <c r="M5" s="829"/>
    </row>
    <row r="6" spans="1:13" ht="27.75" customHeight="1" x14ac:dyDescent="0.25">
      <c r="A6" s="366"/>
      <c r="B6" s="366" t="s">
        <v>30</v>
      </c>
      <c r="C6" s="58">
        <f>C7+C10+C13+C17+C21+C24+C27+C32+C35+C38+C42+C45+C48+C51+C55+C59+C62+C65+C68+C71+C74+C77+C80+C84+C89+C92+C96+C99+C103+C106+C109+C113+C117+C121+C128+C132+C136+C139+C143+C147+C150+C154+C157+C160+C163+C167+C171+C173+C177+C181+C185+C189+C192+C195+C199+C202+C205+C208+C212+C216+C219+C223+C227+C230+C235+C238+C242+C250+C254+C258+C262+C266+C270+C274+C278+C281+C285+C289+C292+C296+C300+C304+C308+C312+C317+C321+C325+C328+C332+C336+C340+C344+C348+C352+C358+C362+C365+C368+C371+C376+C382+C385+C388+C391+C394+C397+C400+C403+C407+C412+C415+C418+C421+C425+C429+C432+C435+C438+C442+C445+C448+C451+C456+C463+C468+C474+C477+C480+C483+C486+C490+C494+C498+C502+C505+C509+C513+C517+C521+C525+C528+C535+C538+C544+C547+C552+C556+C559+C562+C568</f>
        <v>513666773.87</v>
      </c>
      <c r="D6" s="13">
        <f>E6+F6+G6</f>
        <v>513666773.87</v>
      </c>
      <c r="E6" s="58">
        <f>E7+E10+E13+E17+E21+E24+E27+E32+E35+E38+E42+E45+E48+E51+E55+E59+E62+E65+E68+E71+E74+E77+E80+E84+E89+E92+E96+E99+E103+E106+E109+E113+E117+E121+E128+E132+E136+E139+E143+E147+E150+E154+E157+E160+E163+E167+E171+E173+E177+E181+E185+E189+E192+E195+E199+E202+E205+E208+E212+E216+E219+E223+E227+E230+E235+E238+E242+E250+E254+E258+E262+E266+E270+E274+E278+E281+E285+E289+E292+E296+E300+E304+E308+E312+E317+E321+E325+E328+E332+E336+E340+E344+E348+E352+E358+E362+E365+E368+E371+E376+E382+E385+E388+E391+E394+E397+E400+E403+E407+E412+E415+E418+E421+E425+E429+E432+E435+E438+E442+E445+E448+E451+E456+E463+E468+E474+E477+E480+E483+E486+E490+E494+E498+E502+E505+E509+E513+E517+E521+E525+E528+E535+E538+E544+E547+E552+E556+E559+E562+E568</f>
        <v>369413826.21481085</v>
      </c>
      <c r="F6" s="58">
        <f>F7+F10+F13+F17+F21+F24+F27+F32+F35+F38+F42+F45+F48+F51+F55+F59+F62+F65+F68+F71+F74+F77+F80+F84+F89+F92+F96+F99+F103+F106+F109+F113+F117+F121+F128+F132+F136+F139+F143+F147+F150+F154+F157+F160+F163+F167+F171+F173+F177+F181+F185+F189+F192+F195+F199+F202+F205+F208+F212+F216+F219+F223+F227+F230+F235+F238+F242+F250+F254+F258+F262+F266+F270+F274+F278+F281+F285+F289+F292+F296+F300+F304+F308+F312+F317+F321+F325+F328+F332+F336+F340+F344+F348+F352+F358+F362+F365+F368+F371+F376+F382+F385+F388+F391+F394+F397+F400+F403+F407+F412+F415+F418+F421+F425+F429+F432+F435+F438+F442+F445+F448+F451+F456+F463+F468+F474+F477+F480+F483+F486+F490+F494+F498+F502+F505+F509+F513+F517+F521+F525+F528+F535+F538+F544+F547+F552+F556+F559+F562+F568</f>
        <v>24878306.859499995</v>
      </c>
      <c r="G6" s="58">
        <f>G7+G10+G13+G17+G21+G24+G27+G32+G35+G38+G42+G45+G48+G51+G55+G59+G62+G65+G68+G71+G74+G77+G80+G84+G89+G92+G96+G99+G103+G106+G109+G113+G117+G121+G128+G132+G136+G139+G143+G147+G150+G154+G157+G160+G163+G167+G171+G173+G177+G181+G185+G189+G192+G195+G199+G202+G205+G208+G212+G216+G219+G223+G227+G230+G235+G238+G242+G250+G254+G258+G262+G266+G270+G274+G278+G281+G285+G289+G292+G296+G300+G304+G308+G312+G317+G321+G325+G328+G332+G336+G340+G344+G348+G352+G358+G362+G365+G368+G371+G376+G382+G385+G388+G391+G394+G397+G400+G403+G407+G412+G415+G418+G421+G425+G429+G432+G435+G438+G442+G445+G448+G451+G456+G463+G468+G474+G477+G480+G483+G486+G490+G494+G498+G502+G505+G509+G513+G517+G521+G525+G528+G535+G538+G544+G547+G552+G556+G559+G562+G568</f>
        <v>119374640.79568914</v>
      </c>
      <c r="H6" s="13">
        <f>I6+J6+K6</f>
        <v>487232760.10000002</v>
      </c>
      <c r="I6" s="58">
        <f>I7+I10+I13+I17+I21+I24+I27+I32+I35+I38+I42+I45+I48+I51+I55+I59+I62+I65+I68+I71+I74+I77+I80+I84+I89+I92+I96+I99+I103+I106+I109+I113+I117+I121+I128+I132+I136+I139+I143+I147+I150+I154+I157+I160+I163+I167+I171+I173+I177+I181+I185+I189+I192+I195+I199+I202+I205+I208+I212+I216+I219+I223+I227+I230+I235+I238+I242+I250+I254+I258+I262+I266+I270+I274+I278+I281+I285+I289+I292+I296+I300+I304+I308+I312+I317+I321+I325+I328+I332+I336+I340+I344+I348+I352+I358+I362+I365+I368+I371+I376+I382+I385+I388+I391+I394+I397+I400+I403+I407+I412+I415+I418+I421+I425+I429+I432+I435+I438+I442+I445+I448+I451+I456+I463+I468+I474+I477+I480+I483+I486+I490+I494+I498+I502+I505+I509+I513+I517+I521+I525+I528+I535+I538+I544+I547+I552+I556+I559+I562+I568</f>
        <v>348562630.18000001</v>
      </c>
      <c r="J6" s="58">
        <f>J7+J10+J13+J17+J21+J24+J27+J32+J35+J38+J42+J45+J48+J51+J55+J59+J62+J65+J68+J71+J74+J77+J80+J84+J89+J92+J96+J99+J103+J106+J109+J113+J117+J121+J128+J132+J136+J139+J143+J147+J150+J154+J157+J160+J163+J167+J171+J173+J177+J181+J185+J189+J192+J195+J199+J202+J205+J208+J212+J216+J219+J223+J227+J230+J235+J238+J242+J250+J254+J258+J262+J266+J270+J274+J278+J281+J285+J289+J292+J296+J300+J304+J308+J312+J317+J321+J325+J328+J332+J336+J340+J344+J348+J352+J358+J362+J365+J368+J371+J376+J382+J385+J388+J391+J394+J397+J400+J403+J407+J412+J415+J418+J421+J425+J429+J432+J435+J438+J442+J445+J448+J451+J456+J463+J468+J474+J477+J480+J483+J486+J490+J494+J498+J502+J505+J509+J513+J517+J521+J525+J528+J535+J538+J544+J547+J552+J556+J559+J562+J568</f>
        <v>23556606.229999997</v>
      </c>
      <c r="K6" s="58">
        <f>K7+K10+K13+K17+K21+K24+K27+K32+K35+K38+K42+K45+K48+K51+K55+K59+K62+K65+K68+K71+K74+K77+K80+K84+K89+K92+K96+K99+K103+K106+K109+K113+K117+K121+K128+K132+K136+K139+K143+K147+K150+K154+K157+K160+K163+K167+K171+K173+K177+K181+K185+K189+K192+K195+K199+K202+K205+K208+K212+K216+K219+K223+K227+K230+K235+K238+K242+K250+K254+K258+K262+K266+K270+K274+K278+K281+K285+K289+K292+K296+K300+K304+K308+K312+K317+K321+K325+K328+K332+K336+K340+K344+K348+K352+K358+K362+K365+K368+K371+K376+K382+K385+K388+K391+K394+K397+K400+K403+K407+K412+K415+K418+K421+K425+K429+K432+K435+K438+K442+K445+K448+K451+K456+K463+K468+K474+K477+K480+K483+K486+K490+K494+K498+K502+K505+K509+K513+K517+K521+K525+K528+K535+K538+K544+K547+K552+K556+K559+K562+K568</f>
        <v>115113523.68999998</v>
      </c>
      <c r="L6" s="27"/>
    </row>
    <row r="7" spans="1:13" s="566" customFormat="1" ht="29.25" customHeight="1" x14ac:dyDescent="0.2">
      <c r="A7" s="286">
        <v>1</v>
      </c>
      <c r="B7" s="567" t="s">
        <v>401</v>
      </c>
      <c r="C7" s="287">
        <f>SUM(C8:C9)</f>
        <v>6807662.3499999996</v>
      </c>
      <c r="D7" s="527">
        <f>E7+F7+G7</f>
        <v>6807662.3499999996</v>
      </c>
      <c r="E7" s="401">
        <f>SUM(E8:E9)</f>
        <v>4737247.9994944995</v>
      </c>
      <c r="F7" s="401">
        <f t="shared" ref="F7:G7" si="0">SUM(F8:F9)</f>
        <v>340383.11750000005</v>
      </c>
      <c r="G7" s="401">
        <f t="shared" si="0"/>
        <v>1730031.2330055002</v>
      </c>
      <c r="H7" s="393">
        <f>H8+H9</f>
        <v>6807662.3499999996</v>
      </c>
      <c r="I7" s="401">
        <f>I8+I9</f>
        <v>4737247.9899999993</v>
      </c>
      <c r="J7" s="401">
        <f t="shared" ref="J7:K7" si="1">J8+J9</f>
        <v>340383.12</v>
      </c>
      <c r="K7" s="401">
        <f t="shared" si="1"/>
        <v>1730031.24</v>
      </c>
      <c r="L7" s="565"/>
      <c r="M7" s="651"/>
    </row>
    <row r="8" spans="1:13" s="364" customFormat="1" outlineLevel="1" x14ac:dyDescent="0.25">
      <c r="A8" s="246"/>
      <c r="B8" s="248" t="s">
        <v>555</v>
      </c>
      <c r="C8" s="509">
        <v>6695398.96</v>
      </c>
      <c r="D8" s="316">
        <f>E8+F8++G8</f>
        <v>6695398.96</v>
      </c>
      <c r="E8" s="257">
        <f>C8*0.69587</f>
        <v>4659127.2742951997</v>
      </c>
      <c r="F8" s="257">
        <f>C8*0.05</f>
        <v>334769.94800000003</v>
      </c>
      <c r="G8" s="269">
        <f>C8-E8-F8</f>
        <v>1701501.7377048002</v>
      </c>
      <c r="H8" s="316">
        <f>I8+J8++K8</f>
        <v>6695398.96</v>
      </c>
      <c r="I8" s="257">
        <v>4659127.2699999996</v>
      </c>
      <c r="J8" s="257">
        <v>334769.95</v>
      </c>
      <c r="K8" s="269">
        <v>1701501.74</v>
      </c>
      <c r="L8" s="270" t="s">
        <v>735</v>
      </c>
      <c r="M8" s="597"/>
    </row>
    <row r="9" spans="1:13" s="364" customFormat="1" outlineLevel="1" x14ac:dyDescent="0.25">
      <c r="A9" s="246"/>
      <c r="B9" s="248" t="s">
        <v>67</v>
      </c>
      <c r="C9" s="509">
        <v>112263.39</v>
      </c>
      <c r="D9" s="316">
        <f>E9+F9++G9</f>
        <v>112263.39</v>
      </c>
      <c r="E9" s="257">
        <f>C9*0.69587</f>
        <v>78120.725199299995</v>
      </c>
      <c r="F9" s="257">
        <f>C9*0.05</f>
        <v>5613.1695</v>
      </c>
      <c r="G9" s="269">
        <f>C9-E9-F9</f>
        <v>28529.495300700004</v>
      </c>
      <c r="H9" s="316">
        <f>I9+J9++K9</f>
        <v>112263.39</v>
      </c>
      <c r="I9" s="257">
        <v>78120.72</v>
      </c>
      <c r="J9" s="257">
        <v>5613.17</v>
      </c>
      <c r="K9" s="269">
        <v>28529.5</v>
      </c>
      <c r="L9" s="270" t="s">
        <v>830</v>
      </c>
      <c r="M9" s="597">
        <v>42495</v>
      </c>
    </row>
    <row r="10" spans="1:13" s="566" customFormat="1" ht="30" customHeight="1" x14ac:dyDescent="0.2">
      <c r="A10" s="286">
        <v>2</v>
      </c>
      <c r="B10" s="567" t="s">
        <v>402</v>
      </c>
      <c r="C10" s="287">
        <f>SUM(C11:C12)</f>
        <v>6784125.25</v>
      </c>
      <c r="D10" s="527">
        <f>E10+F10+G10</f>
        <v>6784125.25</v>
      </c>
      <c r="E10" s="401">
        <f>SUM(E11:E12)</f>
        <v>4720869.2377175</v>
      </c>
      <c r="F10" s="401">
        <f t="shared" ref="F10:G10" si="2">SUM(F11:F12)</f>
        <v>339206.26250000001</v>
      </c>
      <c r="G10" s="401">
        <f t="shared" si="2"/>
        <v>1724049.7497824999</v>
      </c>
      <c r="H10" s="393">
        <f>H11+H12</f>
        <v>6784125.2500000009</v>
      </c>
      <c r="I10" s="401">
        <f>I11+I12</f>
        <v>4720869.24</v>
      </c>
      <c r="J10" s="401">
        <f>J11+J12</f>
        <v>339206.27</v>
      </c>
      <c r="K10" s="402">
        <f>K11+K12</f>
        <v>1724049.74</v>
      </c>
      <c r="L10" s="565"/>
      <c r="M10" s="651"/>
    </row>
    <row r="11" spans="1:13" s="364" customFormat="1" outlineLevel="1" x14ac:dyDescent="0.25">
      <c r="A11" s="246"/>
      <c r="B11" s="248" t="s">
        <v>555</v>
      </c>
      <c r="C11" s="509">
        <v>6668965.4699999997</v>
      </c>
      <c r="D11" s="316">
        <f>E11+F11+G11</f>
        <v>6668965.4699999997</v>
      </c>
      <c r="E11" s="257">
        <f>C11*0.69587</f>
        <v>4640733.0016088998</v>
      </c>
      <c r="F11" s="257">
        <f>C11*0.05</f>
        <v>333448.27350000001</v>
      </c>
      <c r="G11" s="269">
        <f>C11-E11-F11</f>
        <v>1694784.1948910998</v>
      </c>
      <c r="H11" s="316">
        <f>I11+J11++K11</f>
        <v>6668965.4700000007</v>
      </c>
      <c r="I11" s="257">
        <v>4640733</v>
      </c>
      <c r="J11" s="257">
        <v>333448.28000000003</v>
      </c>
      <c r="K11" s="269">
        <v>1694784.19</v>
      </c>
      <c r="L11" s="270" t="s">
        <v>736</v>
      </c>
      <c r="M11" s="597"/>
    </row>
    <row r="12" spans="1:13" s="364" customFormat="1" outlineLevel="1" x14ac:dyDescent="0.25">
      <c r="A12" s="246"/>
      <c r="B12" s="248" t="s">
        <v>67</v>
      </c>
      <c r="C12" s="509">
        <v>115159.78</v>
      </c>
      <c r="D12" s="316">
        <f>E12+F12+G12</f>
        <v>115159.78</v>
      </c>
      <c r="E12" s="257">
        <f>C12*0.69587</f>
        <v>80136.236108600002</v>
      </c>
      <c r="F12" s="257">
        <f>C12*0.05</f>
        <v>5757.9890000000005</v>
      </c>
      <c r="G12" s="269">
        <f>C12-E12-F12</f>
        <v>29265.554891399996</v>
      </c>
      <c r="H12" s="316">
        <f>I12+J12++K12</f>
        <v>115159.78000000001</v>
      </c>
      <c r="I12" s="257">
        <v>80136.240000000005</v>
      </c>
      <c r="J12" s="257">
        <v>5757.99</v>
      </c>
      <c r="K12" s="269">
        <v>29265.55</v>
      </c>
      <c r="L12" s="270" t="s">
        <v>830</v>
      </c>
      <c r="M12" s="597">
        <v>42495</v>
      </c>
    </row>
    <row r="13" spans="1:13" s="68" customFormat="1" ht="33" customHeight="1" x14ac:dyDescent="0.2">
      <c r="A13" s="330">
        <v>3</v>
      </c>
      <c r="B13" s="331" t="s">
        <v>403</v>
      </c>
      <c r="C13" s="58">
        <f t="shared" ref="C13:K13" si="3">SUM(C14:C16)</f>
        <v>111424.93</v>
      </c>
      <c r="D13" s="40">
        <f t="shared" si="3"/>
        <v>111424.93</v>
      </c>
      <c r="E13" s="75">
        <f t="shared" si="3"/>
        <v>75443.591604400004</v>
      </c>
      <c r="F13" s="75">
        <f t="shared" si="3"/>
        <v>5571.2465000000002</v>
      </c>
      <c r="G13" s="80">
        <f t="shared" si="3"/>
        <v>30410.091895599988</v>
      </c>
      <c r="H13" s="40">
        <f t="shared" si="3"/>
        <v>111424.93</v>
      </c>
      <c r="I13" s="75">
        <f t="shared" si="3"/>
        <v>75443.59</v>
      </c>
      <c r="J13" s="75">
        <f t="shared" si="3"/>
        <v>5571.25</v>
      </c>
      <c r="K13" s="80">
        <f t="shared" si="3"/>
        <v>30410.09</v>
      </c>
      <c r="L13" s="321"/>
      <c r="M13" s="652"/>
    </row>
    <row r="14" spans="1:13" outlineLevel="1" x14ac:dyDescent="0.25">
      <c r="A14" s="332"/>
      <c r="B14" s="16" t="s">
        <v>555</v>
      </c>
      <c r="C14" s="508"/>
      <c r="D14" s="53"/>
      <c r="E14" s="11"/>
      <c r="F14" s="11"/>
      <c r="G14" s="106"/>
      <c r="H14" s="53"/>
      <c r="I14" s="11"/>
      <c r="J14" s="11"/>
      <c r="K14" s="106"/>
      <c r="L14" s="27"/>
    </row>
    <row r="15" spans="1:13" outlineLevel="1" x14ac:dyDescent="0.25">
      <c r="A15" s="332"/>
      <c r="B15" s="16" t="s">
        <v>554</v>
      </c>
      <c r="C15" s="508"/>
      <c r="D15" s="53"/>
      <c r="E15" s="11"/>
      <c r="F15" s="11"/>
      <c r="G15" s="106"/>
      <c r="H15" s="53"/>
      <c r="I15" s="11"/>
      <c r="J15" s="11"/>
      <c r="K15" s="106"/>
      <c r="L15" s="27"/>
    </row>
    <row r="16" spans="1:13" s="364" customFormat="1" outlineLevel="1" x14ac:dyDescent="0.25">
      <c r="A16" s="246"/>
      <c r="B16" s="248" t="s">
        <v>67</v>
      </c>
      <c r="C16" s="509">
        <v>111424.93</v>
      </c>
      <c r="D16" s="316">
        <f>E16+F16+G16</f>
        <v>111424.93</v>
      </c>
      <c r="E16" s="257">
        <f>C16*0.67708</f>
        <v>75443.591604400004</v>
      </c>
      <c r="F16" s="257">
        <f>C16*0.05</f>
        <v>5571.2465000000002</v>
      </c>
      <c r="G16" s="269">
        <f>C16-E16-F16</f>
        <v>30410.091895599988</v>
      </c>
      <c r="H16" s="316">
        <f>I16+J16++K16</f>
        <v>111424.93</v>
      </c>
      <c r="I16" s="257">
        <v>75443.59</v>
      </c>
      <c r="J16" s="257">
        <v>5571.25</v>
      </c>
      <c r="K16" s="269">
        <v>30410.09</v>
      </c>
      <c r="L16" s="270" t="s">
        <v>830</v>
      </c>
      <c r="M16" s="597">
        <v>42495</v>
      </c>
    </row>
    <row r="17" spans="1:13" s="68" customFormat="1" ht="33" customHeight="1" x14ac:dyDescent="0.2">
      <c r="A17" s="330">
        <v>4</v>
      </c>
      <c r="B17" s="331" t="s">
        <v>404</v>
      </c>
      <c r="C17" s="58">
        <f t="shared" ref="C17:K17" si="4">SUM(C18:C20)</f>
        <v>83192.009999999995</v>
      </c>
      <c r="D17" s="40">
        <f t="shared" si="4"/>
        <v>83192.009999999995</v>
      </c>
      <c r="E17" s="75">
        <f t="shared" si="4"/>
        <v>56327.6461308</v>
      </c>
      <c r="F17" s="75">
        <f t="shared" si="4"/>
        <v>4159.6004999999996</v>
      </c>
      <c r="G17" s="80">
        <f t="shared" si="4"/>
        <v>22704.763369199994</v>
      </c>
      <c r="H17" s="40">
        <f t="shared" si="4"/>
        <v>83192.009999999995</v>
      </c>
      <c r="I17" s="75">
        <f t="shared" si="4"/>
        <v>56327.65</v>
      </c>
      <c r="J17" s="75">
        <f t="shared" si="4"/>
        <v>4159.6000000000004</v>
      </c>
      <c r="K17" s="80">
        <f t="shared" si="4"/>
        <v>22704.76</v>
      </c>
      <c r="L17" s="321"/>
      <c r="M17" s="652"/>
    </row>
    <row r="18" spans="1:13" outlineLevel="1" x14ac:dyDescent="0.25">
      <c r="A18" s="332"/>
      <c r="B18" s="16" t="s">
        <v>555</v>
      </c>
      <c r="C18" s="508"/>
      <c r="D18" s="53"/>
      <c r="E18" s="11"/>
      <c r="F18" s="11"/>
      <c r="G18" s="106"/>
      <c r="H18" s="53"/>
      <c r="I18" s="11"/>
      <c r="J18" s="11"/>
      <c r="K18" s="106"/>
      <c r="L18" s="27"/>
    </row>
    <row r="19" spans="1:13" outlineLevel="1" x14ac:dyDescent="0.25">
      <c r="A19" s="332"/>
      <c r="B19" s="16" t="s">
        <v>554</v>
      </c>
      <c r="C19" s="508"/>
      <c r="D19" s="53"/>
      <c r="E19" s="11"/>
      <c r="F19" s="11"/>
      <c r="G19" s="106"/>
      <c r="H19" s="53"/>
      <c r="I19" s="11"/>
      <c r="J19" s="11"/>
      <c r="K19" s="106"/>
      <c r="L19" s="27"/>
    </row>
    <row r="20" spans="1:13" s="364" customFormat="1" outlineLevel="1" x14ac:dyDescent="0.25">
      <c r="A20" s="246"/>
      <c r="B20" s="248" t="s">
        <v>67</v>
      </c>
      <c r="C20" s="509">
        <v>83192.009999999995</v>
      </c>
      <c r="D20" s="316">
        <f>E20+F20+G20</f>
        <v>83192.009999999995</v>
      </c>
      <c r="E20" s="257">
        <f>C20*0.67708</f>
        <v>56327.6461308</v>
      </c>
      <c r="F20" s="257">
        <f>C20*0.05</f>
        <v>4159.6004999999996</v>
      </c>
      <c r="G20" s="269">
        <f>C20-E20-F20</f>
        <v>22704.763369199994</v>
      </c>
      <c r="H20" s="316">
        <f>I20+J20++K20</f>
        <v>83192.009999999995</v>
      </c>
      <c r="I20" s="257">
        <v>56327.65</v>
      </c>
      <c r="J20" s="257">
        <v>4159.6000000000004</v>
      </c>
      <c r="K20" s="269">
        <v>22704.76</v>
      </c>
      <c r="L20" s="270" t="s">
        <v>830</v>
      </c>
      <c r="M20" s="597">
        <v>42495</v>
      </c>
    </row>
    <row r="21" spans="1:13" s="292" customFormat="1" ht="30.75" customHeight="1" x14ac:dyDescent="0.25">
      <c r="A21" s="286">
        <v>5</v>
      </c>
      <c r="B21" s="525" t="s">
        <v>405</v>
      </c>
      <c r="C21" s="287">
        <f t="shared" ref="C21:K21" si="5">SUM(C22:C23)</f>
        <v>7835964.9000000004</v>
      </c>
      <c r="D21" s="288">
        <f t="shared" si="5"/>
        <v>7835964.8999999994</v>
      </c>
      <c r="E21" s="289">
        <f t="shared" si="5"/>
        <v>6130858.9466736</v>
      </c>
      <c r="F21" s="289">
        <f t="shared" si="5"/>
        <v>391798.24599999998</v>
      </c>
      <c r="G21" s="289">
        <f t="shared" si="5"/>
        <v>1313307.7073264001</v>
      </c>
      <c r="H21" s="288">
        <f t="shared" si="5"/>
        <v>7835964.8999999994</v>
      </c>
      <c r="I21" s="289">
        <f t="shared" si="5"/>
        <v>6130858.9399999995</v>
      </c>
      <c r="J21" s="289">
        <f t="shared" si="5"/>
        <v>391798.25</v>
      </c>
      <c r="K21" s="289">
        <f t="shared" si="5"/>
        <v>1313307.7100000002</v>
      </c>
      <c r="L21" s="290"/>
      <c r="M21" s="675"/>
    </row>
    <row r="22" spans="1:13" s="364" customFormat="1" outlineLevel="1" x14ac:dyDescent="0.25">
      <c r="A22" s="246"/>
      <c r="B22" s="248" t="s">
        <v>555</v>
      </c>
      <c r="C22" s="509">
        <v>7717591.9800000004</v>
      </c>
      <c r="D22" s="316">
        <f>E22+F22+G22</f>
        <v>7717591.9799999995</v>
      </c>
      <c r="E22" s="257">
        <v>6050711.0099999998</v>
      </c>
      <c r="F22" s="257">
        <v>385879.6</v>
      </c>
      <c r="G22" s="269">
        <v>1281001.3700000001</v>
      </c>
      <c r="H22" s="316">
        <f>I22+J22+K22</f>
        <v>7717591.9799999995</v>
      </c>
      <c r="I22" s="257">
        <v>6050711.0099999998</v>
      </c>
      <c r="J22" s="257">
        <v>385879.6</v>
      </c>
      <c r="K22" s="269">
        <v>1281001.3700000001</v>
      </c>
      <c r="L22" s="270" t="s">
        <v>836</v>
      </c>
      <c r="M22" s="597">
        <v>42639</v>
      </c>
    </row>
    <row r="23" spans="1:13" s="364" customFormat="1" outlineLevel="1" x14ac:dyDescent="0.25">
      <c r="A23" s="246"/>
      <c r="B23" s="248" t="s">
        <v>67</v>
      </c>
      <c r="C23" s="509">
        <v>118372.92</v>
      </c>
      <c r="D23" s="316">
        <f>E23+F23+G23</f>
        <v>118372.92000000001</v>
      </c>
      <c r="E23" s="257">
        <f>C23*0.67708</f>
        <v>80147.936673599994</v>
      </c>
      <c r="F23" s="257">
        <f>C23*0.05</f>
        <v>5918.6460000000006</v>
      </c>
      <c r="G23" s="269">
        <f>C23-E23-F23</f>
        <v>32306.337326400004</v>
      </c>
      <c r="H23" s="316">
        <f>I23+J23++K23</f>
        <v>118372.91999999998</v>
      </c>
      <c r="I23" s="257">
        <v>80147.929999999993</v>
      </c>
      <c r="J23" s="257">
        <v>5918.65</v>
      </c>
      <c r="K23" s="269">
        <v>32306.34</v>
      </c>
      <c r="L23" s="270" t="s">
        <v>830</v>
      </c>
      <c r="M23" s="597">
        <v>42495</v>
      </c>
    </row>
    <row r="24" spans="1:13" s="526" customFormat="1" ht="25.5" customHeight="1" x14ac:dyDescent="0.25">
      <c r="A24" s="529">
        <v>6</v>
      </c>
      <c r="B24" s="525" t="s">
        <v>406</v>
      </c>
      <c r="C24" s="287">
        <f>C25+C26</f>
        <v>4745808.78</v>
      </c>
      <c r="D24" s="527">
        <f>E24+F24+G24</f>
        <v>4745808.78</v>
      </c>
      <c r="E24" s="401">
        <f t="shared" ref="E24:G24" si="6">E25+E26</f>
        <v>3491016.9385680002</v>
      </c>
      <c r="F24" s="401">
        <f t="shared" si="6"/>
        <v>237290.43900000004</v>
      </c>
      <c r="G24" s="528">
        <f t="shared" si="6"/>
        <v>1017501.402432</v>
      </c>
      <c r="H24" s="527">
        <f>SUM(I24:K24)</f>
        <v>4745808.78</v>
      </c>
      <c r="I24" s="401">
        <f>I25+I26</f>
        <v>3491016.95</v>
      </c>
      <c r="J24" s="401">
        <f>J25+J26</f>
        <v>237290.44</v>
      </c>
      <c r="K24" s="528">
        <f>K25+K26</f>
        <v>1017501.3899999999</v>
      </c>
      <c r="L24" s="287"/>
      <c r="M24" s="653"/>
    </row>
    <row r="25" spans="1:13" s="364" customFormat="1" outlineLevel="1" x14ac:dyDescent="0.25">
      <c r="A25" s="246"/>
      <c r="B25" s="248" t="s">
        <v>555</v>
      </c>
      <c r="C25" s="509">
        <v>4642191.9800000004</v>
      </c>
      <c r="D25" s="249">
        <f t="shared" ref="D25" si="7">E25+F25+G25</f>
        <v>4642191.9800000004</v>
      </c>
      <c r="E25" s="250">
        <f>C25*0.7356</f>
        <v>3414796.4204880004</v>
      </c>
      <c r="F25" s="250">
        <f>C25*5%</f>
        <v>232109.59900000005</v>
      </c>
      <c r="G25" s="251">
        <f>C25-E25-F25</f>
        <v>995285.96051200002</v>
      </c>
      <c r="H25" s="316">
        <f>I25+J25+K25</f>
        <v>4642191.9800000004</v>
      </c>
      <c r="I25" s="257">
        <v>3414796.43</v>
      </c>
      <c r="J25" s="257">
        <v>232109.6</v>
      </c>
      <c r="K25" s="269">
        <v>995285.95</v>
      </c>
      <c r="L25" s="270" t="s">
        <v>706</v>
      </c>
      <c r="M25" s="597"/>
    </row>
    <row r="26" spans="1:13" s="364" customFormat="1" outlineLevel="1" x14ac:dyDescent="0.25">
      <c r="A26" s="246"/>
      <c r="B26" s="248" t="s">
        <v>67</v>
      </c>
      <c r="C26" s="509">
        <v>103616.8</v>
      </c>
      <c r="D26" s="316">
        <f>E26+F26+G26</f>
        <v>103616.8</v>
      </c>
      <c r="E26" s="257">
        <f>C26*0.7356</f>
        <v>76220.518080000009</v>
      </c>
      <c r="F26" s="257">
        <f>C26*0.05</f>
        <v>5180.84</v>
      </c>
      <c r="G26" s="269">
        <f>C26-E26-F26</f>
        <v>22215.441919999994</v>
      </c>
      <c r="H26" s="316">
        <f>I26+J26++K26</f>
        <v>103616.8</v>
      </c>
      <c r="I26" s="257">
        <v>76220.52</v>
      </c>
      <c r="J26" s="257">
        <v>5180.84</v>
      </c>
      <c r="K26" s="269">
        <v>22215.439999999999</v>
      </c>
      <c r="L26" s="270" t="s">
        <v>830</v>
      </c>
      <c r="M26" s="597">
        <v>42495</v>
      </c>
    </row>
    <row r="27" spans="1:13" s="534" customFormat="1" ht="31.5" customHeight="1" x14ac:dyDescent="0.2">
      <c r="A27" s="88">
        <v>7</v>
      </c>
      <c r="B27" s="582" t="s">
        <v>70</v>
      </c>
      <c r="C27" s="285">
        <f>C28+C29+C30+C31</f>
        <v>11094451.26</v>
      </c>
      <c r="D27" s="228">
        <f>E27+F27+G27</f>
        <v>11094451.259999998</v>
      </c>
      <c r="E27" s="201">
        <f>E28+E29+E30+E31</f>
        <v>8161078.3468559999</v>
      </c>
      <c r="F27" s="201">
        <f>F28+F29+F30+F31</f>
        <v>554722.56299999997</v>
      </c>
      <c r="G27" s="229">
        <f>G28+G29+G30+G31</f>
        <v>2378650.3501439998</v>
      </c>
      <c r="H27" s="228">
        <f>I27+J27+K27</f>
        <v>11094451.26</v>
      </c>
      <c r="I27" s="201">
        <f>I28+I29+I30+I31</f>
        <v>8161078.3499999996</v>
      </c>
      <c r="J27" s="201">
        <f>J28+J29+J30+J31</f>
        <v>554722.56000000006</v>
      </c>
      <c r="K27" s="229">
        <f>K28+K29+K30+K31</f>
        <v>2378650.35</v>
      </c>
      <c r="L27" s="533"/>
      <c r="M27" s="654"/>
    </row>
    <row r="28" spans="1:13" s="364" customFormat="1" outlineLevel="1" x14ac:dyDescent="0.25">
      <c r="A28" s="246"/>
      <c r="B28" s="248" t="s">
        <v>555</v>
      </c>
      <c r="C28" s="509">
        <f>11019537.72+74913.54</f>
        <v>11094451.26</v>
      </c>
      <c r="D28" s="249">
        <f t="shared" ref="D28" si="8">E28+F28+G28</f>
        <v>11094451.259999998</v>
      </c>
      <c r="E28" s="250">
        <f>C28*0.7356</f>
        <v>8161078.3468559999</v>
      </c>
      <c r="F28" s="250">
        <f>C28*5%</f>
        <v>554722.56299999997</v>
      </c>
      <c r="G28" s="251">
        <f>C28-E28-F28</f>
        <v>2378650.3501439998</v>
      </c>
      <c r="H28" s="316">
        <f>I28+J28+K28</f>
        <v>11094451.26</v>
      </c>
      <c r="I28" s="257">
        <v>8161078.3499999996</v>
      </c>
      <c r="J28" s="257">
        <v>554722.56000000006</v>
      </c>
      <c r="K28" s="269">
        <v>2378650.35</v>
      </c>
      <c r="L28" s="270" t="s">
        <v>707</v>
      </c>
      <c r="M28" s="597"/>
    </row>
    <row r="29" spans="1:13" outlineLevel="1" x14ac:dyDescent="0.25">
      <c r="A29" s="332"/>
      <c r="B29" s="16" t="s">
        <v>557</v>
      </c>
      <c r="C29" s="508"/>
      <c r="D29" s="53"/>
      <c r="E29" s="11"/>
      <c r="F29" s="11"/>
      <c r="G29" s="106"/>
      <c r="H29" s="53"/>
      <c r="I29" s="11"/>
      <c r="J29" s="11"/>
      <c r="K29" s="106"/>
      <c r="L29" s="27"/>
    </row>
    <row r="30" spans="1:13" outlineLevel="1" x14ac:dyDescent="0.25">
      <c r="A30" s="332"/>
      <c r="B30" s="16" t="s">
        <v>554</v>
      </c>
      <c r="C30" s="508"/>
      <c r="D30" s="53"/>
      <c r="E30" s="11"/>
      <c r="F30" s="11"/>
      <c r="G30" s="106"/>
      <c r="H30" s="53"/>
      <c r="I30" s="11"/>
      <c r="J30" s="11"/>
      <c r="K30" s="106"/>
      <c r="L30" s="27"/>
    </row>
    <row r="31" spans="1:13" outlineLevel="1" x14ac:dyDescent="0.25">
      <c r="A31" s="332"/>
      <c r="B31" s="16" t="s">
        <v>67</v>
      </c>
      <c r="C31" s="508"/>
      <c r="D31" s="53"/>
      <c r="E31" s="11"/>
      <c r="F31" s="11"/>
      <c r="G31" s="106"/>
      <c r="H31" s="53"/>
      <c r="I31" s="11"/>
      <c r="J31" s="11"/>
      <c r="K31" s="106"/>
      <c r="L31" s="27"/>
    </row>
    <row r="32" spans="1:13" s="566" customFormat="1" ht="25.5" customHeight="1" x14ac:dyDescent="0.2">
      <c r="A32" s="286">
        <v>8</v>
      </c>
      <c r="B32" s="525" t="s">
        <v>407</v>
      </c>
      <c r="C32" s="287">
        <f>C33+C34</f>
        <v>3862236.9899999998</v>
      </c>
      <c r="D32" s="592">
        <f t="shared" ref="D32:D37" si="9">E32+F32+G32</f>
        <v>3862236.9899999998</v>
      </c>
      <c r="E32" s="401">
        <f t="shared" ref="E32:G32" si="10">E33+E34</f>
        <v>2687614.8542312998</v>
      </c>
      <c r="F32" s="401">
        <f t="shared" si="10"/>
        <v>193111.84950000001</v>
      </c>
      <c r="G32" s="528">
        <f t="shared" si="10"/>
        <v>981510.28626870003</v>
      </c>
      <c r="H32" s="592">
        <f>I32+J32+K32</f>
        <v>3862236.99</v>
      </c>
      <c r="I32" s="401">
        <f t="shared" ref="I32:K32" si="11">I33+I34</f>
        <v>2687614.8600000003</v>
      </c>
      <c r="J32" s="401">
        <f t="shared" si="11"/>
        <v>193111.85</v>
      </c>
      <c r="K32" s="528">
        <f t="shared" si="11"/>
        <v>981510.28</v>
      </c>
      <c r="L32" s="565"/>
      <c r="M32" s="651"/>
    </row>
    <row r="33" spans="1:13" s="364" customFormat="1" outlineLevel="1" x14ac:dyDescent="0.25">
      <c r="A33" s="246"/>
      <c r="B33" s="248" t="s">
        <v>555</v>
      </c>
      <c r="C33" s="509">
        <v>3783863.71</v>
      </c>
      <c r="D33" s="666">
        <f t="shared" si="9"/>
        <v>3783863.71</v>
      </c>
      <c r="E33" s="257">
        <f>C33*0.69587</f>
        <v>2633077.2398776999</v>
      </c>
      <c r="F33" s="257">
        <f>C33*0.05</f>
        <v>189193.18550000002</v>
      </c>
      <c r="G33" s="667">
        <f>C33-E33-F33</f>
        <v>961593.28462230007</v>
      </c>
      <c r="H33" s="666">
        <f>I33+J33+K33</f>
        <v>3783863.71</v>
      </c>
      <c r="I33" s="257">
        <v>2633077.2400000002</v>
      </c>
      <c r="J33" s="257">
        <v>189193.19</v>
      </c>
      <c r="K33" s="667">
        <v>961593.28</v>
      </c>
      <c r="L33" s="270" t="s">
        <v>741</v>
      </c>
      <c r="M33" s="597"/>
    </row>
    <row r="34" spans="1:13" s="364" customFormat="1" outlineLevel="1" x14ac:dyDescent="0.25">
      <c r="A34" s="246"/>
      <c r="B34" s="248" t="s">
        <v>67</v>
      </c>
      <c r="C34" s="509">
        <v>78373.279999999999</v>
      </c>
      <c r="D34" s="666">
        <f t="shared" si="9"/>
        <v>78373.279999999999</v>
      </c>
      <c r="E34" s="257">
        <f>C34*0.69587</f>
        <v>54537.614353600002</v>
      </c>
      <c r="F34" s="257">
        <f>C34*0.05</f>
        <v>3918.6640000000002</v>
      </c>
      <c r="G34" s="667">
        <f>C34-E34-F34</f>
        <v>19917.001646399996</v>
      </c>
      <c r="H34" s="316">
        <f>I34+J34++K34</f>
        <v>78373.279999999999</v>
      </c>
      <c r="I34" s="257">
        <v>54537.62</v>
      </c>
      <c r="J34" s="257">
        <v>3918.66</v>
      </c>
      <c r="K34" s="667">
        <v>19917</v>
      </c>
      <c r="L34" s="270" t="s">
        <v>830</v>
      </c>
      <c r="M34" s="597">
        <v>42495</v>
      </c>
    </row>
    <row r="35" spans="1:13" s="566" customFormat="1" ht="27.75" customHeight="1" x14ac:dyDescent="0.2">
      <c r="A35" s="286">
        <v>9</v>
      </c>
      <c r="B35" s="525" t="s">
        <v>408</v>
      </c>
      <c r="C35" s="287">
        <f>C36+C37</f>
        <v>3883783.39</v>
      </c>
      <c r="D35" s="592">
        <f t="shared" si="9"/>
        <v>3883783.39</v>
      </c>
      <c r="E35" s="401">
        <f t="shared" ref="E35:G35" si="12">E36+E37</f>
        <v>2702608.3475993001</v>
      </c>
      <c r="F35" s="401">
        <f t="shared" si="12"/>
        <v>194189.16950000002</v>
      </c>
      <c r="G35" s="528">
        <f t="shared" si="12"/>
        <v>986985.87290070008</v>
      </c>
      <c r="H35" s="592">
        <f>I35+J35+K35</f>
        <v>3883783.3899999997</v>
      </c>
      <c r="I35" s="401">
        <f t="shared" ref="I35:K35" si="13">I36+I37</f>
        <v>2702608.3499999996</v>
      </c>
      <c r="J35" s="401">
        <f t="shared" si="13"/>
        <v>194189.17</v>
      </c>
      <c r="K35" s="528">
        <f t="shared" si="13"/>
        <v>986985.87</v>
      </c>
      <c r="L35" s="565"/>
      <c r="M35" s="651"/>
    </row>
    <row r="36" spans="1:13" s="364" customFormat="1" outlineLevel="1" x14ac:dyDescent="0.25">
      <c r="A36" s="246"/>
      <c r="B36" s="248" t="s">
        <v>555</v>
      </c>
      <c r="C36" s="561">
        <v>3804908.71</v>
      </c>
      <c r="D36" s="666">
        <f t="shared" si="9"/>
        <v>3804908.71</v>
      </c>
      <c r="E36" s="257">
        <f>C36*0.69587</f>
        <v>2647721.8240276999</v>
      </c>
      <c r="F36" s="257">
        <f>C36*0.05</f>
        <v>190245.43550000002</v>
      </c>
      <c r="G36" s="667">
        <f>C36-E36-F36</f>
        <v>966941.45047230006</v>
      </c>
      <c r="H36" s="352">
        <f>I36+J36+K36</f>
        <v>3804908.71</v>
      </c>
      <c r="I36" s="257">
        <v>2647721.8199999998</v>
      </c>
      <c r="J36" s="257">
        <v>190245.44</v>
      </c>
      <c r="K36" s="667">
        <v>966941.45</v>
      </c>
      <c r="L36" s="270" t="s">
        <v>741</v>
      </c>
      <c r="M36" s="597"/>
    </row>
    <row r="37" spans="1:13" s="364" customFormat="1" outlineLevel="1" x14ac:dyDescent="0.25">
      <c r="A37" s="246"/>
      <c r="B37" s="248" t="s">
        <v>67</v>
      </c>
      <c r="C37" s="509">
        <v>78874.679999999993</v>
      </c>
      <c r="D37" s="316">
        <f t="shared" si="9"/>
        <v>78874.679999999993</v>
      </c>
      <c r="E37" s="257">
        <f>C37*0.69587</f>
        <v>54886.523571599995</v>
      </c>
      <c r="F37" s="257">
        <f>C37*0.05</f>
        <v>3943.7339999999999</v>
      </c>
      <c r="G37" s="269">
        <f>C37-E37-F37</f>
        <v>20044.422428399997</v>
      </c>
      <c r="H37" s="316">
        <f>I37+J37++K37</f>
        <v>78874.679999999993</v>
      </c>
      <c r="I37" s="257">
        <v>54886.53</v>
      </c>
      <c r="J37" s="257">
        <v>3943.73</v>
      </c>
      <c r="K37" s="667">
        <v>20044.419999999998</v>
      </c>
      <c r="L37" s="270" t="s">
        <v>830</v>
      </c>
      <c r="M37" s="597">
        <v>42495</v>
      </c>
    </row>
    <row r="38" spans="1:13" s="68" customFormat="1" ht="27" customHeight="1" x14ac:dyDescent="0.2">
      <c r="A38" s="330">
        <v>10</v>
      </c>
      <c r="B38" s="333" t="s">
        <v>409</v>
      </c>
      <c r="C38" s="532">
        <f>C39+C40+C41</f>
        <v>77621.179999999993</v>
      </c>
      <c r="D38" s="228">
        <f>E38+F38+G38</f>
        <v>77621.179999999993</v>
      </c>
      <c r="E38" s="532">
        <f t="shared" ref="E38:G38" si="14">E39+E40+E41</f>
        <v>52555.748554399994</v>
      </c>
      <c r="F38" s="532">
        <f t="shared" si="14"/>
        <v>3881.0589999999997</v>
      </c>
      <c r="G38" s="532">
        <f t="shared" si="14"/>
        <v>21184.372445599998</v>
      </c>
      <c r="H38" s="228">
        <f>I38+J38+K38</f>
        <v>77621.179999999993</v>
      </c>
      <c r="I38" s="532">
        <f t="shared" ref="I38:K38" si="15">I39+I40+I41</f>
        <v>52555.75</v>
      </c>
      <c r="J38" s="532">
        <f t="shared" si="15"/>
        <v>3881.06</v>
      </c>
      <c r="K38" s="532">
        <f t="shared" si="15"/>
        <v>21184.37</v>
      </c>
      <c r="L38" s="321"/>
      <c r="M38" s="652"/>
    </row>
    <row r="39" spans="1:13" outlineLevel="1" x14ac:dyDescent="0.25">
      <c r="A39" s="332"/>
      <c r="B39" s="16" t="s">
        <v>555</v>
      </c>
      <c r="C39" s="508"/>
      <c r="D39" s="53"/>
      <c r="E39" s="11"/>
      <c r="F39" s="11"/>
      <c r="G39" s="106"/>
      <c r="H39" s="53"/>
      <c r="I39" s="11"/>
      <c r="J39" s="11"/>
      <c r="K39" s="106"/>
      <c r="L39" s="27"/>
    </row>
    <row r="40" spans="1:13" outlineLevel="1" x14ac:dyDescent="0.25">
      <c r="A40" s="332"/>
      <c r="B40" s="16" t="s">
        <v>554</v>
      </c>
      <c r="C40" s="508"/>
      <c r="D40" s="53"/>
      <c r="E40" s="11"/>
      <c r="F40" s="11"/>
      <c r="G40" s="106"/>
      <c r="H40" s="53"/>
      <c r="I40" s="11"/>
      <c r="J40" s="11"/>
      <c r="K40" s="106"/>
      <c r="L40" s="27"/>
    </row>
    <row r="41" spans="1:13" s="364" customFormat="1" outlineLevel="1" x14ac:dyDescent="0.25">
      <c r="A41" s="246"/>
      <c r="B41" s="248" t="s">
        <v>67</v>
      </c>
      <c r="C41" s="509">
        <v>77621.179999999993</v>
      </c>
      <c r="D41" s="316">
        <f>E41+F41+G41</f>
        <v>77621.179999999993</v>
      </c>
      <c r="E41" s="257">
        <f>C41*0.67708</f>
        <v>52555.748554399994</v>
      </c>
      <c r="F41" s="257">
        <f>C41*0.05</f>
        <v>3881.0589999999997</v>
      </c>
      <c r="G41" s="269">
        <f>C41-E41-F41</f>
        <v>21184.372445599998</v>
      </c>
      <c r="H41" s="316">
        <f>I41+J41++K41</f>
        <v>77621.179999999993</v>
      </c>
      <c r="I41" s="257">
        <v>52555.75</v>
      </c>
      <c r="J41" s="257">
        <v>3881.06</v>
      </c>
      <c r="K41" s="269">
        <v>21184.37</v>
      </c>
      <c r="L41" s="270" t="s">
        <v>830</v>
      </c>
      <c r="M41" s="597">
        <v>42495</v>
      </c>
    </row>
    <row r="42" spans="1:13" s="566" customFormat="1" ht="27.75" customHeight="1" x14ac:dyDescent="0.2">
      <c r="A42" s="286">
        <v>11</v>
      </c>
      <c r="B42" s="525" t="s">
        <v>410</v>
      </c>
      <c r="C42" s="287">
        <f>C43+C44</f>
        <v>3643982.58</v>
      </c>
      <c r="D42" s="592">
        <f>D43+D44</f>
        <v>3643982.58</v>
      </c>
      <c r="E42" s="401">
        <f t="shared" ref="E42:G42" si="16">E43+E44</f>
        <v>2535738.1579446001</v>
      </c>
      <c r="F42" s="401">
        <f t="shared" si="16"/>
        <v>182199.12900000002</v>
      </c>
      <c r="G42" s="528">
        <f t="shared" si="16"/>
        <v>926045.2930553999</v>
      </c>
      <c r="H42" s="592">
        <f>SUM(I42:K42)</f>
        <v>3643982.58</v>
      </c>
      <c r="I42" s="401">
        <f t="shared" ref="I42:K42" si="17">I43+I44</f>
        <v>2535738.15</v>
      </c>
      <c r="J42" s="401">
        <f t="shared" si="17"/>
        <v>182199.13</v>
      </c>
      <c r="K42" s="528">
        <f t="shared" si="17"/>
        <v>926045.3</v>
      </c>
      <c r="L42" s="565"/>
      <c r="M42" s="651"/>
    </row>
    <row r="43" spans="1:13" s="364" customFormat="1" outlineLevel="1" x14ac:dyDescent="0.25">
      <c r="A43" s="246"/>
      <c r="B43" s="248" t="s">
        <v>555</v>
      </c>
      <c r="C43" s="509">
        <v>3564773.64</v>
      </c>
      <c r="D43" s="316">
        <f>E43+F43+G43</f>
        <v>3564773.64</v>
      </c>
      <c r="E43" s="257">
        <f>C43*0.69587</f>
        <v>2480619.0328668002</v>
      </c>
      <c r="F43" s="257">
        <f>C43*0.05</f>
        <v>178238.68200000003</v>
      </c>
      <c r="G43" s="269">
        <f>C43-E43-F43</f>
        <v>905915.9251331999</v>
      </c>
      <c r="H43" s="316">
        <f>I43+J43+K43</f>
        <v>3564773.64</v>
      </c>
      <c r="I43" s="257">
        <v>2480619.0299999998</v>
      </c>
      <c r="J43" s="257">
        <v>178238.68</v>
      </c>
      <c r="K43" s="269">
        <v>905915.93</v>
      </c>
      <c r="L43" s="270" t="s">
        <v>739</v>
      </c>
      <c r="M43" s="597"/>
    </row>
    <row r="44" spans="1:13" s="364" customFormat="1" outlineLevel="1" x14ac:dyDescent="0.25">
      <c r="A44" s="246"/>
      <c r="B44" s="248" t="s">
        <v>67</v>
      </c>
      <c r="C44" s="509">
        <v>79208.94</v>
      </c>
      <c r="D44" s="316">
        <f>E44+F44+G44</f>
        <v>79208.94</v>
      </c>
      <c r="E44" s="257">
        <f>C44*0.69587</f>
        <v>55119.125077800003</v>
      </c>
      <c r="F44" s="257">
        <f>C44*0.05</f>
        <v>3960.4470000000001</v>
      </c>
      <c r="G44" s="269">
        <f>C44-E44-F44</f>
        <v>20129.367922199999</v>
      </c>
      <c r="H44" s="316">
        <f>I44+J44++K44</f>
        <v>79208.94</v>
      </c>
      <c r="I44" s="257">
        <v>55119.12</v>
      </c>
      <c r="J44" s="257">
        <v>3960.45</v>
      </c>
      <c r="K44" s="269">
        <v>20129.37</v>
      </c>
      <c r="L44" s="270" t="s">
        <v>830</v>
      </c>
      <c r="M44" s="597">
        <v>42495</v>
      </c>
    </row>
    <row r="45" spans="1:13" s="566" customFormat="1" ht="30" customHeight="1" x14ac:dyDescent="0.2">
      <c r="A45" s="286">
        <v>12</v>
      </c>
      <c r="B45" s="525" t="s">
        <v>411</v>
      </c>
      <c r="C45" s="287">
        <f>C46+C47</f>
        <v>3682415.66</v>
      </c>
      <c r="D45" s="592">
        <f>E45+F45+G45</f>
        <v>3682415.6599999997</v>
      </c>
      <c r="E45" s="401">
        <f t="shared" ref="E45:G45" si="18">E46+E47</f>
        <v>2493289.9950727997</v>
      </c>
      <c r="F45" s="401">
        <f t="shared" si="18"/>
        <v>184120.78300000002</v>
      </c>
      <c r="G45" s="528">
        <f t="shared" si="18"/>
        <v>1005004.8819272001</v>
      </c>
      <c r="H45" s="592">
        <f>I45+J45+K45</f>
        <v>3682415.6599999997</v>
      </c>
      <c r="I45" s="401">
        <f t="shared" ref="I45:K45" si="19">I46+I47</f>
        <v>2493290</v>
      </c>
      <c r="J45" s="401">
        <f t="shared" si="19"/>
        <v>184120.78</v>
      </c>
      <c r="K45" s="528">
        <f t="shared" si="19"/>
        <v>1005004.88</v>
      </c>
      <c r="L45" s="565"/>
      <c r="M45" s="651"/>
    </row>
    <row r="46" spans="1:13" s="364" customFormat="1" outlineLevel="1" x14ac:dyDescent="0.25">
      <c r="A46" s="246"/>
      <c r="B46" s="248" t="s">
        <v>555</v>
      </c>
      <c r="C46" s="509">
        <v>3614203.06</v>
      </c>
      <c r="D46" s="316">
        <f>E46+F46+G46</f>
        <v>3614203.06</v>
      </c>
      <c r="E46" s="257">
        <f>C46*0.67708</f>
        <v>2447104.6078647999</v>
      </c>
      <c r="F46" s="257">
        <f>C46*0.05</f>
        <v>180710.15300000002</v>
      </c>
      <c r="G46" s="269">
        <f>C46-E46-F46</f>
        <v>986388.2991352001</v>
      </c>
      <c r="H46" s="316">
        <f>SUM(I46:K46)</f>
        <v>3614203.0599999996</v>
      </c>
      <c r="I46" s="257">
        <v>2447104.61</v>
      </c>
      <c r="J46" s="257">
        <v>180710.15</v>
      </c>
      <c r="K46" s="269">
        <v>986388.3</v>
      </c>
      <c r="L46" s="270" t="s">
        <v>804</v>
      </c>
      <c r="M46" s="597">
        <v>42597</v>
      </c>
    </row>
    <row r="47" spans="1:13" s="364" customFormat="1" outlineLevel="1" x14ac:dyDescent="0.25">
      <c r="A47" s="246"/>
      <c r="B47" s="248" t="s">
        <v>67</v>
      </c>
      <c r="C47" s="509">
        <v>68212.600000000006</v>
      </c>
      <c r="D47" s="316">
        <f>E47+F47+G47</f>
        <v>68212.600000000006</v>
      </c>
      <c r="E47" s="257">
        <f>C47*0.67708</f>
        <v>46185.387208000007</v>
      </c>
      <c r="F47" s="257">
        <f>C47*0.05</f>
        <v>3410.6300000000006</v>
      </c>
      <c r="G47" s="269">
        <f>C47-E47-F47</f>
        <v>18616.582791999997</v>
      </c>
      <c r="H47" s="316">
        <f>I47+J47++K47</f>
        <v>68212.600000000006</v>
      </c>
      <c r="I47" s="257">
        <v>46185.39</v>
      </c>
      <c r="J47" s="257">
        <v>3410.63</v>
      </c>
      <c r="K47" s="269">
        <v>18616.580000000002</v>
      </c>
      <c r="L47" s="270" t="s">
        <v>830</v>
      </c>
      <c r="M47" s="597">
        <v>42495</v>
      </c>
    </row>
    <row r="48" spans="1:13" s="566" customFormat="1" ht="27.75" customHeight="1" x14ac:dyDescent="0.2">
      <c r="A48" s="286">
        <v>13</v>
      </c>
      <c r="B48" s="525" t="s">
        <v>412</v>
      </c>
      <c r="C48" s="287">
        <f>C49+C50</f>
        <v>3913033.5300000003</v>
      </c>
      <c r="D48" s="592">
        <f>D49+D50</f>
        <v>3913033.5300000003</v>
      </c>
      <c r="E48" s="401">
        <f t="shared" ref="E48:G48" si="20">E49+E50</f>
        <v>2722962.6425211001</v>
      </c>
      <c r="F48" s="401">
        <f t="shared" si="20"/>
        <v>195651.67650000003</v>
      </c>
      <c r="G48" s="528">
        <f t="shared" si="20"/>
        <v>994419.21097889985</v>
      </c>
      <c r="H48" s="592">
        <f>SUM(I48:K48)</f>
        <v>3913033.5300000003</v>
      </c>
      <c r="I48" s="401">
        <f t="shared" ref="I48:K48" si="21">I49+I50</f>
        <v>2722962.64</v>
      </c>
      <c r="J48" s="401">
        <f t="shared" si="21"/>
        <v>195651.68</v>
      </c>
      <c r="K48" s="528">
        <f t="shared" si="21"/>
        <v>994419.21</v>
      </c>
      <c r="L48" s="565"/>
      <c r="M48" s="651"/>
    </row>
    <row r="49" spans="1:13" s="364" customFormat="1" outlineLevel="1" x14ac:dyDescent="0.25">
      <c r="A49" s="246"/>
      <c r="B49" s="248" t="s">
        <v>555</v>
      </c>
      <c r="C49" s="509">
        <v>3834399.72</v>
      </c>
      <c r="D49" s="316">
        <f>E49+F49+G49</f>
        <v>3834399.72</v>
      </c>
      <c r="E49" s="257">
        <f>C49*0.69587</f>
        <v>2668243.7331564003</v>
      </c>
      <c r="F49" s="257">
        <f>C49*0.05</f>
        <v>191719.98600000003</v>
      </c>
      <c r="G49" s="269">
        <f>C49-E49-F49</f>
        <v>974436.0008435999</v>
      </c>
      <c r="H49" s="316">
        <f>I49+J49+K49</f>
        <v>3834399.7199999997</v>
      </c>
      <c r="I49" s="257">
        <v>2668243.73</v>
      </c>
      <c r="J49" s="257">
        <v>191719.99</v>
      </c>
      <c r="K49" s="269">
        <v>974436</v>
      </c>
      <c r="L49" s="270" t="s">
        <v>739</v>
      </c>
      <c r="M49" s="597"/>
    </row>
    <row r="50" spans="1:13" s="364" customFormat="1" outlineLevel="1" x14ac:dyDescent="0.25">
      <c r="A50" s="246"/>
      <c r="B50" s="248" t="s">
        <v>67</v>
      </c>
      <c r="C50" s="509">
        <v>78633.81</v>
      </c>
      <c r="D50" s="316">
        <f>E50+F50+G50</f>
        <v>78633.81</v>
      </c>
      <c r="E50" s="257">
        <f>C50*0.69587</f>
        <v>54718.909364699997</v>
      </c>
      <c r="F50" s="257">
        <f>C50*0.05</f>
        <v>3931.6905000000002</v>
      </c>
      <c r="G50" s="269">
        <f>C50-E50-F50</f>
        <v>19983.2101353</v>
      </c>
      <c r="H50" s="316">
        <f>I50+J50++K50</f>
        <v>78633.81</v>
      </c>
      <c r="I50" s="257">
        <v>54718.91</v>
      </c>
      <c r="J50" s="257">
        <v>3931.69</v>
      </c>
      <c r="K50" s="269">
        <v>19983.21</v>
      </c>
      <c r="L50" s="270" t="s">
        <v>830</v>
      </c>
      <c r="M50" s="597">
        <v>42495</v>
      </c>
    </row>
    <row r="51" spans="1:13" s="68" customFormat="1" ht="37.5" customHeight="1" x14ac:dyDescent="0.2">
      <c r="A51" s="330">
        <v>14</v>
      </c>
      <c r="B51" s="331" t="s">
        <v>413</v>
      </c>
      <c r="C51" s="532">
        <f>C52+C53+C54</f>
        <v>101449.99</v>
      </c>
      <c r="D51" s="228">
        <f>E51+F51+G51</f>
        <v>101449.99</v>
      </c>
      <c r="E51" s="532">
        <f t="shared" ref="E51:G51" si="22">E52+E53+E54</f>
        <v>68689.759229200004</v>
      </c>
      <c r="F51" s="532">
        <f t="shared" si="22"/>
        <v>5072.4995000000008</v>
      </c>
      <c r="G51" s="532">
        <f t="shared" si="22"/>
        <v>27687.731270799999</v>
      </c>
      <c r="H51" s="228">
        <f>I51+J51+K51</f>
        <v>101449.98999999999</v>
      </c>
      <c r="I51" s="532">
        <f t="shared" ref="I51:K51" si="23">I52+I53+I54</f>
        <v>68689.759999999995</v>
      </c>
      <c r="J51" s="532">
        <f t="shared" si="23"/>
        <v>5072.5</v>
      </c>
      <c r="K51" s="532">
        <f t="shared" si="23"/>
        <v>27687.73</v>
      </c>
      <c r="L51" s="321"/>
      <c r="M51" s="652"/>
    </row>
    <row r="52" spans="1:13" outlineLevel="1" x14ac:dyDescent="0.25">
      <c r="A52" s="332"/>
      <c r="B52" s="16" t="s">
        <v>555</v>
      </c>
      <c r="C52" s="508"/>
      <c r="D52" s="53"/>
      <c r="E52" s="11"/>
      <c r="F52" s="11"/>
      <c r="G52" s="106"/>
      <c r="H52" s="53"/>
      <c r="I52" s="11"/>
      <c r="J52" s="11"/>
      <c r="K52" s="106"/>
      <c r="L52" s="27"/>
    </row>
    <row r="53" spans="1:13" outlineLevel="1" x14ac:dyDescent="0.25">
      <c r="A53" s="332"/>
      <c r="B53" s="16" t="s">
        <v>554</v>
      </c>
      <c r="C53" s="508"/>
      <c r="D53" s="53"/>
      <c r="E53" s="11"/>
      <c r="F53" s="11"/>
      <c r="G53" s="106"/>
      <c r="H53" s="53"/>
      <c r="I53" s="11"/>
      <c r="J53" s="11"/>
      <c r="K53" s="106"/>
      <c r="L53" s="27"/>
    </row>
    <row r="54" spans="1:13" s="364" customFormat="1" outlineLevel="1" x14ac:dyDescent="0.25">
      <c r="A54" s="246"/>
      <c r="B54" s="248" t="s">
        <v>67</v>
      </c>
      <c r="C54" s="509">
        <v>101449.99</v>
      </c>
      <c r="D54" s="316">
        <f>E54+F54+G54</f>
        <v>101449.99</v>
      </c>
      <c r="E54" s="257">
        <f>C54*0.67708</f>
        <v>68689.759229200004</v>
      </c>
      <c r="F54" s="257">
        <f>C54*0.05</f>
        <v>5072.4995000000008</v>
      </c>
      <c r="G54" s="269">
        <f>C54-E54-F54</f>
        <v>27687.731270799999</v>
      </c>
      <c r="H54" s="316">
        <f>I54+J54++K54</f>
        <v>101449.98999999999</v>
      </c>
      <c r="I54" s="257">
        <v>68689.759999999995</v>
      </c>
      <c r="J54" s="257">
        <v>5072.5</v>
      </c>
      <c r="K54" s="269">
        <v>27687.73</v>
      </c>
      <c r="L54" s="270" t="s">
        <v>830</v>
      </c>
      <c r="M54" s="597">
        <v>42495</v>
      </c>
    </row>
    <row r="55" spans="1:13" s="68" customFormat="1" ht="35.25" customHeight="1" x14ac:dyDescent="0.2">
      <c r="A55" s="330">
        <v>15</v>
      </c>
      <c r="B55" s="331" t="s">
        <v>414</v>
      </c>
      <c r="C55" s="532">
        <f>C56+C57+C58</f>
        <v>125091.14</v>
      </c>
      <c r="D55" s="228">
        <f>E55+F55+G55</f>
        <v>125091.14</v>
      </c>
      <c r="E55" s="532">
        <f t="shared" ref="E55:G55" si="24">E56+E57+E58</f>
        <v>84696.709071200006</v>
      </c>
      <c r="F55" s="532">
        <f t="shared" si="24"/>
        <v>6254.5570000000007</v>
      </c>
      <c r="G55" s="532">
        <f t="shared" si="24"/>
        <v>34139.873928799992</v>
      </c>
      <c r="H55" s="228">
        <f>I55+J55+K55</f>
        <v>125091.14000000001</v>
      </c>
      <c r="I55" s="532">
        <f t="shared" ref="I55:K55" si="25">I56+I57+I58</f>
        <v>84696.71</v>
      </c>
      <c r="J55" s="532">
        <f t="shared" si="25"/>
        <v>6254.56</v>
      </c>
      <c r="K55" s="532">
        <f t="shared" si="25"/>
        <v>34139.870000000003</v>
      </c>
      <c r="L55" s="321"/>
      <c r="M55" s="652"/>
    </row>
    <row r="56" spans="1:13" outlineLevel="1" x14ac:dyDescent="0.25">
      <c r="A56" s="332"/>
      <c r="B56" s="16" t="s">
        <v>555</v>
      </c>
      <c r="C56" s="508"/>
      <c r="D56" s="53"/>
      <c r="E56" s="11"/>
      <c r="F56" s="11"/>
      <c r="G56" s="106"/>
      <c r="H56" s="53"/>
      <c r="I56" s="11"/>
      <c r="J56" s="11"/>
      <c r="K56" s="106"/>
      <c r="L56" s="27"/>
    </row>
    <row r="57" spans="1:13" outlineLevel="1" x14ac:dyDescent="0.25">
      <c r="A57" s="332"/>
      <c r="B57" s="16" t="s">
        <v>554</v>
      </c>
      <c r="C57" s="508"/>
      <c r="D57" s="53"/>
      <c r="E57" s="11"/>
      <c r="F57" s="11"/>
      <c r="G57" s="106"/>
      <c r="H57" s="53"/>
      <c r="I57" s="11"/>
      <c r="J57" s="11"/>
      <c r="K57" s="106"/>
      <c r="L57" s="27"/>
    </row>
    <row r="58" spans="1:13" s="364" customFormat="1" outlineLevel="1" x14ac:dyDescent="0.25">
      <c r="A58" s="246"/>
      <c r="B58" s="248" t="s">
        <v>67</v>
      </c>
      <c r="C58" s="509">
        <v>125091.14</v>
      </c>
      <c r="D58" s="316">
        <f>E58+F58+G58</f>
        <v>125091.14</v>
      </c>
      <c r="E58" s="257">
        <f>C58*0.67708</f>
        <v>84696.709071200006</v>
      </c>
      <c r="F58" s="257">
        <f>C58*0.05</f>
        <v>6254.5570000000007</v>
      </c>
      <c r="G58" s="269">
        <f>C58-E58-F58</f>
        <v>34139.873928799992</v>
      </c>
      <c r="H58" s="316">
        <f>I58+J58++K58</f>
        <v>125091.14000000001</v>
      </c>
      <c r="I58" s="257">
        <v>84696.71</v>
      </c>
      <c r="J58" s="257">
        <v>6254.56</v>
      </c>
      <c r="K58" s="269">
        <v>34139.870000000003</v>
      </c>
      <c r="L58" s="270" t="s">
        <v>830</v>
      </c>
      <c r="M58" s="597">
        <v>42495</v>
      </c>
    </row>
    <row r="59" spans="1:13" s="566" customFormat="1" ht="27.75" customHeight="1" x14ac:dyDescent="0.2">
      <c r="A59" s="286">
        <v>16</v>
      </c>
      <c r="B59" s="525" t="s">
        <v>415</v>
      </c>
      <c r="C59" s="287">
        <f>C60+C61</f>
        <v>6012172.1000000006</v>
      </c>
      <c r="D59" s="592">
        <f>D60+D61</f>
        <v>6012172.1000000015</v>
      </c>
      <c r="E59" s="401">
        <f t="shared" ref="E59:G59" si="26">E60+E61</f>
        <v>4070721.4854680002</v>
      </c>
      <c r="F59" s="401">
        <f t="shared" si="26"/>
        <v>300608.60500000004</v>
      </c>
      <c r="G59" s="528">
        <f t="shared" si="26"/>
        <v>1640842.0095319999</v>
      </c>
      <c r="H59" s="592">
        <f>SUM(I59:K59)</f>
        <v>6012172.0999999996</v>
      </c>
      <c r="I59" s="401">
        <f t="shared" ref="I59:K59" si="27">I60+I61</f>
        <v>4070721.49</v>
      </c>
      <c r="J59" s="401">
        <f t="shared" si="27"/>
        <v>300608.60000000003</v>
      </c>
      <c r="K59" s="528">
        <f t="shared" si="27"/>
        <v>1640842.01</v>
      </c>
      <c r="L59" s="565"/>
      <c r="M59" s="651"/>
    </row>
    <row r="60" spans="1:13" s="364" customFormat="1" outlineLevel="1" x14ac:dyDescent="0.25">
      <c r="A60" s="246"/>
      <c r="B60" s="248" t="s">
        <v>555</v>
      </c>
      <c r="C60" s="509">
        <v>5911696.5300000003</v>
      </c>
      <c r="D60" s="249">
        <f t="shared" ref="D60:D63" si="28">E60+F60+G60</f>
        <v>5911696.5300000012</v>
      </c>
      <c r="E60" s="257">
        <f>C60*0.67708</f>
        <v>4002691.4865324004</v>
      </c>
      <c r="F60" s="257">
        <f>C60*5%</f>
        <v>295584.82650000002</v>
      </c>
      <c r="G60" s="269">
        <f>C60-E60-F60</f>
        <v>1613420.2169675999</v>
      </c>
      <c r="H60" s="316">
        <f>SUM(I60:K60)</f>
        <v>5911696.5300000003</v>
      </c>
      <c r="I60" s="257">
        <v>4002691.49</v>
      </c>
      <c r="J60" s="257">
        <v>295584.82</v>
      </c>
      <c r="K60" s="269">
        <v>1613420.22</v>
      </c>
      <c r="L60" s="270" t="s">
        <v>827</v>
      </c>
      <c r="M60" s="597">
        <v>42573</v>
      </c>
    </row>
    <row r="61" spans="1:13" s="364" customFormat="1" outlineLevel="1" x14ac:dyDescent="0.25">
      <c r="A61" s="246"/>
      <c r="B61" s="248" t="s">
        <v>67</v>
      </c>
      <c r="C61" s="509">
        <v>100475.57</v>
      </c>
      <c r="D61" s="316">
        <f>E61+F61+G61</f>
        <v>100475.57</v>
      </c>
      <c r="E61" s="257">
        <f>C61*0.67708</f>
        <v>68029.998935600001</v>
      </c>
      <c r="F61" s="257">
        <f>C61*0.05</f>
        <v>5023.7785000000003</v>
      </c>
      <c r="G61" s="269">
        <f>C61-E61-F61</f>
        <v>27421.792564400006</v>
      </c>
      <c r="H61" s="316">
        <f>I61+J61++K61</f>
        <v>100475.57</v>
      </c>
      <c r="I61" s="257">
        <v>68030</v>
      </c>
      <c r="J61" s="257">
        <v>5023.78</v>
      </c>
      <c r="K61" s="269">
        <v>27421.79</v>
      </c>
      <c r="L61" s="270" t="s">
        <v>830</v>
      </c>
      <c r="M61" s="597">
        <v>42495</v>
      </c>
    </row>
    <row r="62" spans="1:13" s="68" customFormat="1" ht="34.5" customHeight="1" x14ac:dyDescent="0.2">
      <c r="A62" s="330">
        <v>17</v>
      </c>
      <c r="B62" s="331" t="s">
        <v>416</v>
      </c>
      <c r="C62" s="64">
        <f t="shared" ref="C62:K62" si="29">C63+C64</f>
        <v>7666055.2599999998</v>
      </c>
      <c r="D62" s="40">
        <f t="shared" si="29"/>
        <v>7666055.2599999998</v>
      </c>
      <c r="E62" s="75">
        <f t="shared" si="29"/>
        <v>5639150.2492559999</v>
      </c>
      <c r="F62" s="75">
        <f t="shared" si="29"/>
        <v>383302.76300000004</v>
      </c>
      <c r="G62" s="80">
        <f t="shared" si="29"/>
        <v>1643602.2477439998</v>
      </c>
      <c r="H62" s="221">
        <f t="shared" si="29"/>
        <v>7666055.2599999998</v>
      </c>
      <c r="I62" s="75">
        <f t="shared" si="29"/>
        <v>5639150.25</v>
      </c>
      <c r="J62" s="75">
        <f t="shared" si="29"/>
        <v>383302.77</v>
      </c>
      <c r="K62" s="75">
        <f t="shared" si="29"/>
        <v>1643602.24</v>
      </c>
      <c r="L62" s="321"/>
      <c r="M62" s="652"/>
    </row>
    <row r="63" spans="1:13" s="364" customFormat="1" outlineLevel="1" x14ac:dyDescent="0.25">
      <c r="A63" s="246"/>
      <c r="B63" s="248" t="s">
        <v>555</v>
      </c>
      <c r="C63" s="509">
        <f>7060498.14+605557.12</f>
        <v>7666055.2599999998</v>
      </c>
      <c r="D63" s="249">
        <f t="shared" si="28"/>
        <v>7666055.2599999998</v>
      </c>
      <c r="E63" s="250">
        <f>C63*0.7356</f>
        <v>5639150.2492559999</v>
      </c>
      <c r="F63" s="250">
        <f>C63*5%</f>
        <v>383302.76300000004</v>
      </c>
      <c r="G63" s="251">
        <f>C63-E63-F63</f>
        <v>1643602.2477439998</v>
      </c>
      <c r="H63" s="389">
        <f>I63+J63+K63</f>
        <v>7666055.2599999998</v>
      </c>
      <c r="I63" s="257">
        <v>5639150.25</v>
      </c>
      <c r="J63" s="257">
        <v>383302.77</v>
      </c>
      <c r="K63" s="269">
        <v>1643602.24</v>
      </c>
      <c r="L63" s="270" t="s">
        <v>655</v>
      </c>
      <c r="M63" s="597"/>
    </row>
    <row r="64" spans="1:13" outlineLevel="1" x14ac:dyDescent="0.25">
      <c r="A64" s="332"/>
      <c r="B64" s="283" t="s">
        <v>67</v>
      </c>
      <c r="C64" s="724"/>
      <c r="D64" s="264"/>
      <c r="E64" s="202"/>
      <c r="F64" s="202"/>
      <c r="G64" s="265"/>
      <c r="H64" s="222"/>
      <c r="I64" s="11"/>
      <c r="J64" s="11"/>
      <c r="K64" s="106"/>
      <c r="L64" s="27"/>
    </row>
    <row r="65" spans="1:13" s="68" customFormat="1" ht="30" customHeight="1" x14ac:dyDescent="0.2">
      <c r="A65" s="330">
        <v>18</v>
      </c>
      <c r="B65" s="331" t="s">
        <v>417</v>
      </c>
      <c r="C65" s="64">
        <f t="shared" ref="C65:K65" si="30">C66+C67</f>
        <v>7033236.5600000005</v>
      </c>
      <c r="D65" s="40">
        <f t="shared" si="30"/>
        <v>7033236.5600000005</v>
      </c>
      <c r="E65" s="75">
        <f t="shared" si="30"/>
        <v>5173648.8135360004</v>
      </c>
      <c r="F65" s="75">
        <f t="shared" si="30"/>
        <v>351661.82800000004</v>
      </c>
      <c r="G65" s="80">
        <f t="shared" si="30"/>
        <v>1507925.9184640001</v>
      </c>
      <c r="H65" s="221">
        <f t="shared" si="30"/>
        <v>7033236.5600000005</v>
      </c>
      <c r="I65" s="75">
        <f t="shared" si="30"/>
        <v>5173648.82</v>
      </c>
      <c r="J65" s="75">
        <f t="shared" si="30"/>
        <v>351661.83</v>
      </c>
      <c r="K65" s="75">
        <f t="shared" si="30"/>
        <v>1507925.91</v>
      </c>
      <c r="L65" s="321"/>
      <c r="M65" s="652"/>
    </row>
    <row r="66" spans="1:13" s="364" customFormat="1" outlineLevel="1" x14ac:dyDescent="0.25">
      <c r="A66" s="246"/>
      <c r="B66" s="248" t="s">
        <v>555</v>
      </c>
      <c r="C66" s="509">
        <f>6892194.7+141041.86</f>
        <v>7033236.5600000005</v>
      </c>
      <c r="D66" s="249">
        <f t="shared" ref="D66" si="31">E66+F66+G66</f>
        <v>7033236.5600000005</v>
      </c>
      <c r="E66" s="250">
        <f>C66*0.7356</f>
        <v>5173648.8135360004</v>
      </c>
      <c r="F66" s="250">
        <f>C66*5%</f>
        <v>351661.82800000004</v>
      </c>
      <c r="G66" s="251">
        <f>C66-E66-F66</f>
        <v>1507925.9184640001</v>
      </c>
      <c r="H66" s="389">
        <f>I66+J66+K66</f>
        <v>7033236.5600000005</v>
      </c>
      <c r="I66" s="257">
        <v>5173648.82</v>
      </c>
      <c r="J66" s="257">
        <v>351661.83</v>
      </c>
      <c r="K66" s="269">
        <v>1507925.91</v>
      </c>
      <c r="L66" s="270" t="s">
        <v>654</v>
      </c>
      <c r="M66" s="597"/>
    </row>
    <row r="67" spans="1:13" outlineLevel="1" x14ac:dyDescent="0.25">
      <c r="A67" s="332"/>
      <c r="B67" s="283" t="s">
        <v>67</v>
      </c>
      <c r="C67" s="724"/>
      <c r="D67" s="264"/>
      <c r="E67" s="202"/>
      <c r="F67" s="202"/>
      <c r="G67" s="265"/>
      <c r="H67" s="53"/>
      <c r="I67" s="11"/>
      <c r="J67" s="11"/>
      <c r="K67" s="106"/>
      <c r="L67" s="27"/>
    </row>
    <row r="68" spans="1:13" s="566" customFormat="1" ht="35.25" customHeight="1" x14ac:dyDescent="0.2">
      <c r="A68" s="286">
        <v>19</v>
      </c>
      <c r="B68" s="567" t="s">
        <v>418</v>
      </c>
      <c r="C68" s="287">
        <f>C69+C70</f>
        <v>5651829.7399999993</v>
      </c>
      <c r="D68" s="592">
        <f>D69+D70</f>
        <v>5651829.7399999993</v>
      </c>
      <c r="E68" s="401">
        <f t="shared" ref="E68:G68" si="32">E69+E70</f>
        <v>3826740.8803592003</v>
      </c>
      <c r="F68" s="401">
        <f t="shared" si="32"/>
        <v>282591.48699999996</v>
      </c>
      <c r="G68" s="528">
        <f t="shared" si="32"/>
        <v>1542497.3726407995</v>
      </c>
      <c r="H68" s="592">
        <f>SUM(I68:K68)</f>
        <v>5651829.7400000002</v>
      </c>
      <c r="I68" s="401">
        <f t="shared" ref="I68:K68" si="33">I69+I70</f>
        <v>3826740.88</v>
      </c>
      <c r="J68" s="401">
        <f t="shared" si="33"/>
        <v>282591.49</v>
      </c>
      <c r="K68" s="528">
        <f t="shared" si="33"/>
        <v>1542497.3699999999</v>
      </c>
      <c r="L68" s="565"/>
      <c r="M68" s="651"/>
    </row>
    <row r="69" spans="1:13" s="364" customFormat="1" outlineLevel="1" x14ac:dyDescent="0.25">
      <c r="A69" s="246"/>
      <c r="B69" s="248" t="s">
        <v>555</v>
      </c>
      <c r="C69" s="509">
        <v>5569494.4299999997</v>
      </c>
      <c r="D69" s="316">
        <f>E69+F69+G69</f>
        <v>5569494.4299999997</v>
      </c>
      <c r="E69" s="257">
        <f>C69*0.67708</f>
        <v>3770993.2886644001</v>
      </c>
      <c r="F69" s="257">
        <f>C69*0.05</f>
        <v>278474.72149999999</v>
      </c>
      <c r="G69" s="269">
        <f>C69-E69-F69</f>
        <v>1520026.4198355996</v>
      </c>
      <c r="H69" s="316">
        <f>SUM(I69:K69)</f>
        <v>5569494.4299999997</v>
      </c>
      <c r="I69" s="257">
        <v>3770993.29</v>
      </c>
      <c r="J69" s="257">
        <v>278474.71999999997</v>
      </c>
      <c r="K69" s="269">
        <v>1520026.42</v>
      </c>
      <c r="L69" s="270" t="s">
        <v>821</v>
      </c>
      <c r="M69" s="597">
        <v>42600</v>
      </c>
    </row>
    <row r="70" spans="1:13" s="364" customFormat="1" outlineLevel="1" x14ac:dyDescent="0.25">
      <c r="A70" s="246"/>
      <c r="B70" s="248" t="s">
        <v>67</v>
      </c>
      <c r="C70" s="509">
        <v>82335.31</v>
      </c>
      <c r="D70" s="316">
        <f>E70+F70+G70</f>
        <v>82335.31</v>
      </c>
      <c r="E70" s="257">
        <f>C70*0.67708</f>
        <v>55747.591694800001</v>
      </c>
      <c r="F70" s="257">
        <f>C70*0.05</f>
        <v>4116.7655000000004</v>
      </c>
      <c r="G70" s="269">
        <f>C70-E70-F70</f>
        <v>22470.952805199995</v>
      </c>
      <c r="H70" s="316">
        <f>I70+J70++K70</f>
        <v>82335.31</v>
      </c>
      <c r="I70" s="257">
        <v>55747.59</v>
      </c>
      <c r="J70" s="257">
        <v>4116.7700000000004</v>
      </c>
      <c r="K70" s="269">
        <v>22470.95</v>
      </c>
      <c r="L70" s="270" t="s">
        <v>830</v>
      </c>
      <c r="M70" s="597">
        <v>42495</v>
      </c>
    </row>
    <row r="71" spans="1:13" s="566" customFormat="1" ht="30" customHeight="1" x14ac:dyDescent="0.2">
      <c r="A71" s="286">
        <v>20</v>
      </c>
      <c r="B71" s="567" t="s">
        <v>419</v>
      </c>
      <c r="C71" s="621">
        <f>C72+C73</f>
        <v>5375854.5099999998</v>
      </c>
      <c r="D71" s="288">
        <f>E71+F71+G71</f>
        <v>5375854.5100000007</v>
      </c>
      <c r="E71" s="621">
        <f>E72+E73</f>
        <v>4206122.3274715999</v>
      </c>
      <c r="F71" s="621">
        <f>F72+F73</f>
        <v>268792.71849999996</v>
      </c>
      <c r="G71" s="621">
        <f>G72+G73</f>
        <v>900939.46402840002</v>
      </c>
      <c r="H71" s="288">
        <f>I71+J71+K71</f>
        <v>5375854.5099999998</v>
      </c>
      <c r="I71" s="621">
        <f>I72+I73</f>
        <v>4206122.33</v>
      </c>
      <c r="J71" s="621">
        <f>J72+J73</f>
        <v>268792.71999999997</v>
      </c>
      <c r="K71" s="621">
        <f>K72+K73</f>
        <v>900939.46000000008</v>
      </c>
      <c r="L71" s="565"/>
      <c r="M71" s="651"/>
    </row>
    <row r="72" spans="1:13" s="364" customFormat="1" outlineLevel="1" x14ac:dyDescent="0.25">
      <c r="A72" s="246"/>
      <c r="B72" s="248" t="s">
        <v>555</v>
      </c>
      <c r="C72" s="509">
        <v>5293814.74</v>
      </c>
      <c r="D72" s="316">
        <f>E72+F72+G72</f>
        <v>5293814.74</v>
      </c>
      <c r="E72" s="257">
        <v>4150574.84</v>
      </c>
      <c r="F72" s="257">
        <v>264690.73</v>
      </c>
      <c r="G72" s="269">
        <v>878549.17</v>
      </c>
      <c r="H72" s="316">
        <f>I72+J72++K72</f>
        <v>5293814.74</v>
      </c>
      <c r="I72" s="257">
        <v>4150574.84</v>
      </c>
      <c r="J72" s="257">
        <v>264690.73</v>
      </c>
      <c r="K72" s="269">
        <v>878549.17</v>
      </c>
      <c r="L72" s="270" t="s">
        <v>849</v>
      </c>
      <c r="M72" s="597">
        <v>42639</v>
      </c>
    </row>
    <row r="73" spans="1:13" s="364" customFormat="1" outlineLevel="1" x14ac:dyDescent="0.25">
      <c r="A73" s="246"/>
      <c r="B73" s="248" t="s">
        <v>67</v>
      </c>
      <c r="C73" s="509">
        <v>82039.77</v>
      </c>
      <c r="D73" s="316">
        <f>E73+F73+G73</f>
        <v>82039.77</v>
      </c>
      <c r="E73" s="257">
        <f>C73*0.67708</f>
        <v>55547.487471600005</v>
      </c>
      <c r="F73" s="257">
        <f>C73*0.05</f>
        <v>4101.9885000000004</v>
      </c>
      <c r="G73" s="269">
        <f>C73-E73-F73</f>
        <v>22390.2940284</v>
      </c>
      <c r="H73" s="316">
        <f>I73+J73++K73</f>
        <v>82039.76999999999</v>
      </c>
      <c r="I73" s="257">
        <v>55547.49</v>
      </c>
      <c r="J73" s="257">
        <v>4101.99</v>
      </c>
      <c r="K73" s="269">
        <v>22390.29</v>
      </c>
      <c r="L73" s="270" t="s">
        <v>830</v>
      </c>
      <c r="M73" s="597">
        <v>42495</v>
      </c>
    </row>
    <row r="74" spans="1:13" s="566" customFormat="1" ht="25.5" customHeight="1" x14ac:dyDescent="0.2">
      <c r="A74" s="286">
        <v>21</v>
      </c>
      <c r="B74" s="567" t="s">
        <v>420</v>
      </c>
      <c r="C74" s="287">
        <f>C75+C76</f>
        <v>12075851.110000001</v>
      </c>
      <c r="D74" s="592">
        <f>D75+D76</f>
        <v>12075851.110000001</v>
      </c>
      <c r="E74" s="401">
        <f t="shared" ref="E74:G74" si="34">E75+E76</f>
        <v>8673238.542735301</v>
      </c>
      <c r="F74" s="401">
        <f t="shared" si="34"/>
        <v>603792.55550000002</v>
      </c>
      <c r="G74" s="528">
        <f t="shared" si="34"/>
        <v>2798820.0117647005</v>
      </c>
      <c r="H74" s="592">
        <f>SUM(I74:K74)</f>
        <v>12075851.110000001</v>
      </c>
      <c r="I74" s="401">
        <f t="shared" ref="I74:K74" si="35">I75+I76</f>
        <v>8673238.540000001</v>
      </c>
      <c r="J74" s="401">
        <f t="shared" si="35"/>
        <v>603792.56000000006</v>
      </c>
      <c r="K74" s="528">
        <f t="shared" si="35"/>
        <v>2798820.0100000002</v>
      </c>
      <c r="L74" s="565"/>
      <c r="M74" s="651"/>
    </row>
    <row r="75" spans="1:13" s="364" customFormat="1" outlineLevel="1" x14ac:dyDescent="0.25">
      <c r="A75" s="246"/>
      <c r="B75" s="248" t="s">
        <v>555</v>
      </c>
      <c r="C75" s="509">
        <v>11964796.200000001</v>
      </c>
      <c r="D75" s="316">
        <f>E75+F75+G75</f>
        <v>11964796.200000001</v>
      </c>
      <c r="E75" s="257">
        <f>C75*0.71823</f>
        <v>8593475.5747260004</v>
      </c>
      <c r="F75" s="257">
        <f>C75*0.05</f>
        <v>598239.81000000006</v>
      </c>
      <c r="G75" s="269">
        <f>C75-E75-F75</f>
        <v>2773080.8152740006</v>
      </c>
      <c r="H75" s="316">
        <f>I75+J75+K75</f>
        <v>11964796.200000001</v>
      </c>
      <c r="I75" s="257">
        <v>8593475.5800000001</v>
      </c>
      <c r="J75" s="257">
        <v>598239.81000000006</v>
      </c>
      <c r="K75" s="269">
        <v>2773080.81</v>
      </c>
      <c r="L75" s="270" t="s">
        <v>748</v>
      </c>
      <c r="M75" s="597"/>
    </row>
    <row r="76" spans="1:13" s="364" customFormat="1" outlineLevel="1" x14ac:dyDescent="0.25">
      <c r="A76" s="246"/>
      <c r="B76" s="248" t="s">
        <v>67</v>
      </c>
      <c r="C76" s="509">
        <v>111054.91</v>
      </c>
      <c r="D76" s="316">
        <f>E76+F76+G76</f>
        <v>111054.91</v>
      </c>
      <c r="E76" s="257">
        <f>C76*0.71823</f>
        <v>79762.968009300006</v>
      </c>
      <c r="F76" s="257">
        <f>C76*0.05</f>
        <v>5552.7455000000009</v>
      </c>
      <c r="G76" s="269">
        <f>C76-E76-F76</f>
        <v>25739.196490699997</v>
      </c>
      <c r="H76" s="316">
        <f>I76+J76++K76</f>
        <v>111054.91</v>
      </c>
      <c r="I76" s="257">
        <v>79762.960000000006</v>
      </c>
      <c r="J76" s="257">
        <v>5552.75</v>
      </c>
      <c r="K76" s="269">
        <v>25739.200000000001</v>
      </c>
      <c r="L76" s="270" t="s">
        <v>830</v>
      </c>
      <c r="M76" s="597">
        <v>42495</v>
      </c>
    </row>
    <row r="77" spans="1:13" s="68" customFormat="1" ht="29.25" customHeight="1" x14ac:dyDescent="0.2">
      <c r="A77" s="330">
        <v>22</v>
      </c>
      <c r="B77" s="331" t="s">
        <v>421</v>
      </c>
      <c r="C77" s="181">
        <f>SUM(C78:C79)</f>
        <v>3018381</v>
      </c>
      <c r="D77" s="40">
        <f>E77+F77+G77</f>
        <v>3018381</v>
      </c>
      <c r="E77" s="75">
        <f>SUM(E78:E79)</f>
        <v>2220321.0636</v>
      </c>
      <c r="F77" s="75">
        <f>SUM(F78:F79)</f>
        <v>150919.05000000002</v>
      </c>
      <c r="G77" s="75">
        <f>SUM(G78:G79)</f>
        <v>647140.88639999996</v>
      </c>
      <c r="H77" s="40">
        <f>I77+J77+K77</f>
        <v>3018381</v>
      </c>
      <c r="I77" s="75">
        <f>SUM(I78:I79)</f>
        <v>2220321.06</v>
      </c>
      <c r="J77" s="75">
        <f>SUM(J78:J79)</f>
        <v>150919.04999999999</v>
      </c>
      <c r="K77" s="75">
        <f>SUM(K78:K79)</f>
        <v>647140.89</v>
      </c>
      <c r="L77" s="321"/>
      <c r="M77" s="652"/>
    </row>
    <row r="78" spans="1:13" s="364" customFormat="1" outlineLevel="1" x14ac:dyDescent="0.25">
      <c r="A78" s="246"/>
      <c r="B78" s="248" t="s">
        <v>555</v>
      </c>
      <c r="C78" s="509">
        <v>3018381</v>
      </c>
      <c r="D78" s="316">
        <f>E78+F78+G78</f>
        <v>3018381</v>
      </c>
      <c r="E78" s="257">
        <f>C78*0.7356</f>
        <v>2220321.0636</v>
      </c>
      <c r="F78" s="257">
        <f>C78*0.05</f>
        <v>150919.05000000002</v>
      </c>
      <c r="G78" s="269">
        <f>C78-E78-F78</f>
        <v>647140.88639999996</v>
      </c>
      <c r="H78" s="316">
        <f>I78+J78+K78</f>
        <v>3018381</v>
      </c>
      <c r="I78" s="257">
        <v>2220321.06</v>
      </c>
      <c r="J78" s="257">
        <v>150919.04999999999</v>
      </c>
      <c r="K78" s="269">
        <v>647140.89</v>
      </c>
      <c r="L78" s="270" t="s">
        <v>684</v>
      </c>
      <c r="M78" s="597"/>
    </row>
    <row r="79" spans="1:13" outlineLevel="1" x14ac:dyDescent="0.25">
      <c r="A79" s="332"/>
      <c r="B79" s="283" t="s">
        <v>67</v>
      </c>
      <c r="C79" s="724"/>
      <c r="D79" s="583"/>
      <c r="E79" s="586"/>
      <c r="F79" s="586"/>
      <c r="G79" s="587"/>
      <c r="H79" s="53"/>
      <c r="I79" s="11"/>
      <c r="J79" s="11"/>
      <c r="K79" s="106"/>
      <c r="L79" s="27"/>
    </row>
    <row r="80" spans="1:13" s="68" customFormat="1" ht="27.75" customHeight="1" x14ac:dyDescent="0.2">
      <c r="A80" s="330">
        <v>23</v>
      </c>
      <c r="B80" s="331" t="s">
        <v>422</v>
      </c>
      <c r="C80" s="510">
        <f>SUM(C81:C83)</f>
        <v>7389191.8799999999</v>
      </c>
      <c r="D80" s="40">
        <f>E80+F80+G80</f>
        <v>7389191.8800000008</v>
      </c>
      <c r="E80" s="75">
        <f>SUM(E81:E83)</f>
        <v>5781377.6199520007</v>
      </c>
      <c r="F80" s="75">
        <f>SUM(F81:F83)</f>
        <v>369459.58600000001</v>
      </c>
      <c r="G80" s="75">
        <f>SUM(G81:G83)</f>
        <v>1238354.6740479998</v>
      </c>
      <c r="H80" s="40">
        <f>I80+J80+K80</f>
        <v>3374097.92</v>
      </c>
      <c r="I80" s="75">
        <f>SUM(I81:I83)</f>
        <v>2481986.4300000002</v>
      </c>
      <c r="J80" s="75">
        <f>SUM(J81:J83)</f>
        <v>168704.9</v>
      </c>
      <c r="K80" s="75">
        <f>SUM(K81:K83)</f>
        <v>723406.59</v>
      </c>
      <c r="L80" s="321"/>
      <c r="M80" s="652"/>
    </row>
    <row r="81" spans="1:13" s="364" customFormat="1" outlineLevel="1" x14ac:dyDescent="0.25">
      <c r="A81" s="246"/>
      <c r="B81" s="248" t="s">
        <v>555</v>
      </c>
      <c r="C81" s="509">
        <f>3067371.08+306726.84</f>
        <v>3374097.92</v>
      </c>
      <c r="D81" s="249">
        <f t="shared" ref="D81" si="36">E81+F81+G81</f>
        <v>3374097.92</v>
      </c>
      <c r="E81" s="250">
        <f>C81*0.7356</f>
        <v>2481986.4299520003</v>
      </c>
      <c r="F81" s="250">
        <f>C81*5%</f>
        <v>168704.89600000001</v>
      </c>
      <c r="G81" s="251">
        <f>C81-E81-F81</f>
        <v>723406.59404799971</v>
      </c>
      <c r="H81" s="316">
        <f>I81+J81+K81</f>
        <v>3374097.92</v>
      </c>
      <c r="I81" s="257">
        <v>2481986.4300000002</v>
      </c>
      <c r="J81" s="257">
        <v>168704.9</v>
      </c>
      <c r="K81" s="269">
        <v>723406.59</v>
      </c>
      <c r="L81" s="270" t="s">
        <v>657</v>
      </c>
      <c r="M81" s="597"/>
    </row>
    <row r="82" spans="1:13" s="364" customFormat="1" outlineLevel="1" x14ac:dyDescent="0.25">
      <c r="A82" s="246"/>
      <c r="B82" s="248" t="s">
        <v>557</v>
      </c>
      <c r="C82" s="509">
        <v>4015093.96</v>
      </c>
      <c r="D82" s="316">
        <f>SUM(E82:G82)</f>
        <v>4015093.96</v>
      </c>
      <c r="E82" s="257">
        <v>3299391.19</v>
      </c>
      <c r="F82" s="257">
        <v>200754.69</v>
      </c>
      <c r="G82" s="269">
        <v>514948.08</v>
      </c>
      <c r="H82" s="316"/>
      <c r="I82" s="257"/>
      <c r="J82" s="257"/>
      <c r="K82" s="269"/>
      <c r="L82" s="270" t="s">
        <v>866</v>
      </c>
      <c r="M82" s="597">
        <v>42646</v>
      </c>
    </row>
    <row r="83" spans="1:13" outlineLevel="1" x14ac:dyDescent="0.25">
      <c r="A83" s="332"/>
      <c r="B83" s="16" t="s">
        <v>67</v>
      </c>
      <c r="C83" s="508"/>
      <c r="D83" s="53"/>
      <c r="E83" s="11"/>
      <c r="F83" s="11"/>
      <c r="G83" s="106"/>
      <c r="H83" s="53"/>
      <c r="I83" s="11"/>
      <c r="J83" s="11"/>
      <c r="K83" s="106"/>
      <c r="L83" s="27"/>
    </row>
    <row r="84" spans="1:13" s="534" customFormat="1" ht="29.25" customHeight="1" x14ac:dyDescent="0.2">
      <c r="A84" s="88">
        <v>24</v>
      </c>
      <c r="B84" s="531" t="s">
        <v>607</v>
      </c>
      <c r="C84" s="532">
        <f>SUM(C85:C88)</f>
        <v>3350986.42</v>
      </c>
      <c r="D84" s="228">
        <f>E84+F84+G84</f>
        <v>3350986.42</v>
      </c>
      <c r="E84" s="201">
        <f>SUM(E85:E88)</f>
        <v>2464985.6105519999</v>
      </c>
      <c r="F84" s="201">
        <f t="shared" ref="F84:G84" si="37">SUM(F85:F88)</f>
        <v>167549.321</v>
      </c>
      <c r="G84" s="201">
        <f t="shared" si="37"/>
        <v>718451.48844800005</v>
      </c>
      <c r="H84" s="228">
        <f>I84+J84+K84</f>
        <v>3350986.42</v>
      </c>
      <c r="I84" s="201">
        <f>SUM(I85:I88)</f>
        <v>2464985.61</v>
      </c>
      <c r="J84" s="201">
        <f t="shared" ref="J84:K84" si="38">SUM(J85:J88)</f>
        <v>167549.32</v>
      </c>
      <c r="K84" s="201">
        <f t="shared" si="38"/>
        <v>718451.49</v>
      </c>
      <c r="L84" s="533"/>
      <c r="M84" s="654"/>
    </row>
    <row r="85" spans="1:13" s="364" customFormat="1" outlineLevel="1" x14ac:dyDescent="0.25">
      <c r="A85" s="246"/>
      <c r="B85" s="248" t="s">
        <v>555</v>
      </c>
      <c r="C85" s="509">
        <v>3350986.42</v>
      </c>
      <c r="D85" s="249">
        <f t="shared" ref="D85" si="39">E85+F85+G85</f>
        <v>3350986.42</v>
      </c>
      <c r="E85" s="250">
        <f>C85*0.7356</f>
        <v>2464985.6105519999</v>
      </c>
      <c r="F85" s="250">
        <f>C85*5%</f>
        <v>167549.321</v>
      </c>
      <c r="G85" s="251">
        <f>C85-E85-F85</f>
        <v>718451.48844800005</v>
      </c>
      <c r="H85" s="316">
        <f>I85+J85+K85</f>
        <v>3350986.42</v>
      </c>
      <c r="I85" s="257">
        <v>2464985.61</v>
      </c>
      <c r="J85" s="257">
        <v>167549.32</v>
      </c>
      <c r="K85" s="269">
        <v>718451.49</v>
      </c>
      <c r="L85" s="270" t="s">
        <v>701</v>
      </c>
      <c r="M85" s="597"/>
    </row>
    <row r="86" spans="1:13" outlineLevel="1" x14ac:dyDescent="0.25">
      <c r="A86" s="332"/>
      <c r="B86" s="16" t="s">
        <v>557</v>
      </c>
      <c r="C86" s="508"/>
      <c r="D86" s="53"/>
      <c r="E86" s="11"/>
      <c r="F86" s="11"/>
      <c r="G86" s="106"/>
      <c r="H86" s="53"/>
      <c r="I86" s="11"/>
      <c r="J86" s="11"/>
      <c r="K86" s="106"/>
      <c r="L86" s="27"/>
    </row>
    <row r="87" spans="1:13" outlineLevel="1" x14ac:dyDescent="0.25">
      <c r="A87" s="332"/>
      <c r="B87" s="16" t="s">
        <v>554</v>
      </c>
      <c r="C87" s="508"/>
      <c r="D87" s="53"/>
      <c r="E87" s="11"/>
      <c r="F87" s="11"/>
      <c r="G87" s="106"/>
      <c r="H87" s="53"/>
      <c r="I87" s="11"/>
      <c r="J87" s="11"/>
      <c r="K87" s="106"/>
      <c r="L87" s="27"/>
    </row>
    <row r="88" spans="1:13" outlineLevel="1" x14ac:dyDescent="0.25">
      <c r="A88" s="332"/>
      <c r="B88" s="283" t="s">
        <v>67</v>
      </c>
      <c r="C88" s="508"/>
      <c r="D88" s="53"/>
      <c r="E88" s="202"/>
      <c r="F88" s="202"/>
      <c r="G88" s="265"/>
      <c r="H88" s="53"/>
      <c r="I88" s="11"/>
      <c r="J88" s="11"/>
      <c r="K88" s="106"/>
      <c r="L88" s="27"/>
    </row>
    <row r="89" spans="1:13" s="566" customFormat="1" ht="32.25" customHeight="1" x14ac:dyDescent="0.2">
      <c r="A89" s="286">
        <v>25</v>
      </c>
      <c r="B89" s="567" t="s">
        <v>423</v>
      </c>
      <c r="C89" s="621">
        <f>C90+C91</f>
        <v>7786026.1500000004</v>
      </c>
      <c r="D89" s="288">
        <f>E89+F89+G89</f>
        <v>7786026.1500000004</v>
      </c>
      <c r="E89" s="621">
        <f t="shared" ref="E89:G89" si="40">E90+E91</f>
        <v>5271762.5856420007</v>
      </c>
      <c r="F89" s="621">
        <f t="shared" si="40"/>
        <v>389301.30750000005</v>
      </c>
      <c r="G89" s="621">
        <f t="shared" si="40"/>
        <v>2124962.2568580001</v>
      </c>
      <c r="H89" s="288">
        <f>I89+J89+K89</f>
        <v>7786026.1500000004</v>
      </c>
      <c r="I89" s="621">
        <f t="shared" ref="I89:K89" si="41">I90+I91</f>
        <v>5271762.5900000008</v>
      </c>
      <c r="J89" s="621">
        <f t="shared" si="41"/>
        <v>389301.3</v>
      </c>
      <c r="K89" s="621">
        <f t="shared" si="41"/>
        <v>2124962.2599999998</v>
      </c>
      <c r="L89" s="565"/>
      <c r="M89" s="651"/>
    </row>
    <row r="90" spans="1:13" s="364" customFormat="1" outlineLevel="1" x14ac:dyDescent="0.25">
      <c r="A90" s="246"/>
      <c r="B90" s="248" t="s">
        <v>555</v>
      </c>
      <c r="C90" s="509">
        <v>7686539.4800000004</v>
      </c>
      <c r="D90" s="316">
        <f>E90+F90+G90</f>
        <v>7686539.4800000004</v>
      </c>
      <c r="E90" s="257">
        <f>C90*0.67708</f>
        <v>5204402.1511184005</v>
      </c>
      <c r="F90" s="257">
        <f>C90*0.05</f>
        <v>384326.97400000005</v>
      </c>
      <c r="G90" s="269">
        <f>C90-E90-F90</f>
        <v>2097810.3548816</v>
      </c>
      <c r="H90" s="316">
        <f>I90+J90+K90</f>
        <v>7686539.4800000004</v>
      </c>
      <c r="I90" s="257">
        <v>5204402.1500000004</v>
      </c>
      <c r="J90" s="257">
        <v>384326.97</v>
      </c>
      <c r="K90" s="269">
        <v>2097810.36</v>
      </c>
      <c r="L90" s="270" t="s">
        <v>787</v>
      </c>
      <c r="M90" s="597">
        <v>42577</v>
      </c>
    </row>
    <row r="91" spans="1:13" s="364" customFormat="1" outlineLevel="1" x14ac:dyDescent="0.25">
      <c r="A91" s="246"/>
      <c r="B91" s="248" t="s">
        <v>67</v>
      </c>
      <c r="C91" s="509">
        <v>99486.67</v>
      </c>
      <c r="D91" s="316">
        <f>E91+F91+G91</f>
        <v>99486.669999999984</v>
      </c>
      <c r="E91" s="257">
        <f>C91*0.67708</f>
        <v>67360.434523599994</v>
      </c>
      <c r="F91" s="257">
        <f>C91*0.05</f>
        <v>4974.3335000000006</v>
      </c>
      <c r="G91" s="269">
        <f>C91-E91-F91</f>
        <v>27151.901976400004</v>
      </c>
      <c r="H91" s="316">
        <f>I91+J91++K91</f>
        <v>99486.670000000013</v>
      </c>
      <c r="I91" s="257">
        <v>67360.44</v>
      </c>
      <c r="J91" s="257">
        <v>4974.33</v>
      </c>
      <c r="K91" s="269">
        <v>27151.9</v>
      </c>
      <c r="L91" s="270" t="s">
        <v>830</v>
      </c>
      <c r="M91" s="597">
        <v>42495</v>
      </c>
    </row>
    <row r="92" spans="1:13" s="68" customFormat="1" ht="33" customHeight="1" x14ac:dyDescent="0.2">
      <c r="A92" s="330">
        <v>26</v>
      </c>
      <c r="B92" s="331" t="s">
        <v>424</v>
      </c>
      <c r="C92" s="532">
        <f>C93+C94+C95</f>
        <v>86087.53</v>
      </c>
      <c r="D92" s="228">
        <f>E92+F92+G92</f>
        <v>86087.53</v>
      </c>
      <c r="E92" s="532">
        <f t="shared" ref="E92:G92" si="42">E93+E94+E95</f>
        <v>58288.144812400002</v>
      </c>
      <c r="F92" s="532">
        <f t="shared" si="42"/>
        <v>4304.3765000000003</v>
      </c>
      <c r="G92" s="532">
        <f t="shared" si="42"/>
        <v>23495.008687599999</v>
      </c>
      <c r="H92" s="228">
        <f>I92+J92+K92</f>
        <v>86087.53</v>
      </c>
      <c r="I92" s="532">
        <f t="shared" ref="I92:K92" si="43">I93+I94+I95</f>
        <v>58288.14</v>
      </c>
      <c r="J92" s="532">
        <f t="shared" si="43"/>
        <v>4304.38</v>
      </c>
      <c r="K92" s="532">
        <f t="shared" si="43"/>
        <v>23495.01</v>
      </c>
      <c r="L92" s="321"/>
      <c r="M92" s="652"/>
    </row>
    <row r="93" spans="1:13" outlineLevel="1" x14ac:dyDescent="0.25">
      <c r="A93" s="332"/>
      <c r="B93" s="16" t="s">
        <v>555</v>
      </c>
      <c r="C93" s="508"/>
      <c r="D93" s="53"/>
      <c r="E93" s="11"/>
      <c r="F93" s="11"/>
      <c r="G93" s="106"/>
      <c r="H93" s="53"/>
      <c r="I93" s="11"/>
      <c r="J93" s="11"/>
      <c r="K93" s="106"/>
      <c r="L93" s="27"/>
    </row>
    <row r="94" spans="1:13" outlineLevel="1" x14ac:dyDescent="0.25">
      <c r="A94" s="332"/>
      <c r="B94" s="16" t="s">
        <v>554</v>
      </c>
      <c r="C94" s="508"/>
      <c r="D94" s="53"/>
      <c r="E94" s="11"/>
      <c r="F94" s="11"/>
      <c r="G94" s="106"/>
      <c r="H94" s="53"/>
      <c r="I94" s="11"/>
      <c r="J94" s="11"/>
      <c r="K94" s="106"/>
      <c r="L94" s="27"/>
    </row>
    <row r="95" spans="1:13" s="364" customFormat="1" outlineLevel="1" x14ac:dyDescent="0.25">
      <c r="A95" s="246"/>
      <c r="B95" s="248" t="s">
        <v>67</v>
      </c>
      <c r="C95" s="509">
        <v>86087.53</v>
      </c>
      <c r="D95" s="316">
        <f>E95+F95+G95</f>
        <v>86087.53</v>
      </c>
      <c r="E95" s="257">
        <f>C95*0.67708</f>
        <v>58288.144812400002</v>
      </c>
      <c r="F95" s="257">
        <f>C95*0.05</f>
        <v>4304.3765000000003</v>
      </c>
      <c r="G95" s="269">
        <f>C95-E95-F95</f>
        <v>23495.008687599999</v>
      </c>
      <c r="H95" s="316">
        <f>I95+J95++K95</f>
        <v>86087.53</v>
      </c>
      <c r="I95" s="257">
        <v>58288.14</v>
      </c>
      <c r="J95" s="257">
        <v>4304.38</v>
      </c>
      <c r="K95" s="269">
        <v>23495.01</v>
      </c>
      <c r="L95" s="270" t="s">
        <v>830</v>
      </c>
      <c r="M95" s="597">
        <v>42495</v>
      </c>
    </row>
    <row r="96" spans="1:13" s="566" customFormat="1" ht="32.25" customHeight="1" x14ac:dyDescent="0.2">
      <c r="A96" s="286">
        <v>27</v>
      </c>
      <c r="B96" s="567" t="s">
        <v>425</v>
      </c>
      <c r="C96" s="621">
        <f>C97+C98</f>
        <v>3653629.73</v>
      </c>
      <c r="D96" s="621">
        <f t="shared" ref="D96:K96" si="44">D97+D98</f>
        <v>3653629.73</v>
      </c>
      <c r="E96" s="621">
        <f t="shared" si="44"/>
        <v>2858636.44</v>
      </c>
      <c r="F96" s="621">
        <f t="shared" si="44"/>
        <v>182681.49</v>
      </c>
      <c r="G96" s="621">
        <f t="shared" si="44"/>
        <v>612311.79999999993</v>
      </c>
      <c r="H96" s="621">
        <f t="shared" si="44"/>
        <v>3653629.73</v>
      </c>
      <c r="I96" s="621">
        <f t="shared" si="44"/>
        <v>2858636.44</v>
      </c>
      <c r="J96" s="621">
        <f t="shared" si="44"/>
        <v>182681.49</v>
      </c>
      <c r="K96" s="621">
        <f t="shared" si="44"/>
        <v>612311.79999999993</v>
      </c>
      <c r="L96" s="565"/>
      <c r="M96" s="651"/>
    </row>
    <row r="97" spans="1:13" s="364" customFormat="1" outlineLevel="1" x14ac:dyDescent="0.25">
      <c r="A97" s="246"/>
      <c r="B97" s="248" t="s">
        <v>555</v>
      </c>
      <c r="C97" s="509">
        <v>3582954.8</v>
      </c>
      <c r="D97" s="316">
        <f>SUM(E97:G97)</f>
        <v>3582954.8</v>
      </c>
      <c r="E97" s="257">
        <v>2810783.86</v>
      </c>
      <c r="F97" s="257">
        <v>179147.74</v>
      </c>
      <c r="G97" s="269">
        <v>593023.19999999995</v>
      </c>
      <c r="H97" s="316">
        <f>SUM(I97:K97)</f>
        <v>3582954.8</v>
      </c>
      <c r="I97" s="257">
        <v>2810783.86</v>
      </c>
      <c r="J97" s="257">
        <v>179147.74</v>
      </c>
      <c r="K97" s="269">
        <v>593023.19999999995</v>
      </c>
      <c r="L97" s="270" t="s">
        <v>806</v>
      </c>
      <c r="M97" s="597"/>
    </row>
    <row r="98" spans="1:13" s="364" customFormat="1" outlineLevel="1" x14ac:dyDescent="0.25">
      <c r="A98" s="246"/>
      <c r="B98" s="248" t="s">
        <v>67</v>
      </c>
      <c r="C98" s="509">
        <v>70674.929999999993</v>
      </c>
      <c r="D98" s="316">
        <f>E98+F98+G98</f>
        <v>70674.929999999993</v>
      </c>
      <c r="E98" s="257">
        <v>47852.58</v>
      </c>
      <c r="F98" s="257">
        <v>3533.75</v>
      </c>
      <c r="G98" s="269">
        <v>19288.599999999999</v>
      </c>
      <c r="H98" s="316">
        <f>SUM(I98:K98)</f>
        <v>70674.929999999993</v>
      </c>
      <c r="I98" s="257">
        <v>47852.58</v>
      </c>
      <c r="J98" s="257">
        <v>3533.75</v>
      </c>
      <c r="K98" s="269">
        <v>19288.599999999999</v>
      </c>
      <c r="L98" s="270" t="s">
        <v>825</v>
      </c>
      <c r="M98" s="597">
        <v>42495</v>
      </c>
    </row>
    <row r="99" spans="1:13" s="68" customFormat="1" ht="30" customHeight="1" x14ac:dyDescent="0.2">
      <c r="A99" s="330">
        <v>28</v>
      </c>
      <c r="B99" s="331" t="s">
        <v>426</v>
      </c>
      <c r="C99" s="532">
        <f>C100+C101+C102</f>
        <v>79325.440000000002</v>
      </c>
      <c r="D99" s="228">
        <f>E99+F99+G99</f>
        <v>79325.440000000002</v>
      </c>
      <c r="E99" s="532">
        <f t="shared" ref="E99" si="45">E100+E101+E102</f>
        <v>53709.67</v>
      </c>
      <c r="F99" s="532">
        <f t="shared" ref="F99" si="46">F100+F101+F102</f>
        <v>3966.27</v>
      </c>
      <c r="G99" s="532">
        <f t="shared" ref="G99" si="47">G100+G101+G102</f>
        <v>21649.5</v>
      </c>
      <c r="H99" s="228">
        <f>I99+J99+K99</f>
        <v>79325.440000000002</v>
      </c>
      <c r="I99" s="532">
        <f t="shared" ref="I99" si="48">I100+I101+I102</f>
        <v>53709.67</v>
      </c>
      <c r="J99" s="532">
        <f t="shared" ref="J99" si="49">J100+J101+J102</f>
        <v>3966.27</v>
      </c>
      <c r="K99" s="532">
        <f t="shared" ref="K99" si="50">K100+K101+K102</f>
        <v>21649.5</v>
      </c>
      <c r="L99" s="321"/>
      <c r="M99" s="652"/>
    </row>
    <row r="100" spans="1:13" outlineLevel="1" x14ac:dyDescent="0.25">
      <c r="A100" s="332"/>
      <c r="B100" s="16" t="s">
        <v>555</v>
      </c>
      <c r="C100" s="508"/>
      <c r="D100" s="53"/>
      <c r="E100" s="11"/>
      <c r="F100" s="11"/>
      <c r="G100" s="106"/>
      <c r="H100" s="53"/>
      <c r="I100" s="11"/>
      <c r="J100" s="11"/>
      <c r="K100" s="106"/>
      <c r="L100" s="27"/>
    </row>
    <row r="101" spans="1:13" outlineLevel="1" x14ac:dyDescent="0.25">
      <c r="A101" s="332"/>
      <c r="B101" s="16" t="s">
        <v>554</v>
      </c>
      <c r="C101" s="508"/>
      <c r="D101" s="53"/>
      <c r="E101" s="11"/>
      <c r="F101" s="11"/>
      <c r="G101" s="106"/>
      <c r="H101" s="53"/>
      <c r="I101" s="11"/>
      <c r="J101" s="11"/>
      <c r="K101" s="106"/>
      <c r="L101" s="27"/>
    </row>
    <row r="102" spans="1:13" s="364" customFormat="1" outlineLevel="1" x14ac:dyDescent="0.25">
      <c r="A102" s="246"/>
      <c r="B102" s="248" t="s">
        <v>67</v>
      </c>
      <c r="C102" s="509">
        <v>79325.440000000002</v>
      </c>
      <c r="D102" s="316">
        <f>E102+F102+G102</f>
        <v>79325.440000000002</v>
      </c>
      <c r="E102" s="257">
        <v>53709.67</v>
      </c>
      <c r="F102" s="257">
        <v>3966.27</v>
      </c>
      <c r="G102" s="269">
        <v>21649.5</v>
      </c>
      <c r="H102" s="316">
        <f>SUM(I102:K102)</f>
        <v>79325.440000000002</v>
      </c>
      <c r="I102" s="257">
        <v>53709.67</v>
      </c>
      <c r="J102" s="257">
        <v>3966.27</v>
      </c>
      <c r="K102" s="269">
        <v>21649.5</v>
      </c>
      <c r="L102" s="270" t="s">
        <v>825</v>
      </c>
      <c r="M102" s="597">
        <v>42495</v>
      </c>
    </row>
    <row r="103" spans="1:13" s="566" customFormat="1" ht="35.25" customHeight="1" x14ac:dyDescent="0.2">
      <c r="A103" s="286">
        <v>29</v>
      </c>
      <c r="B103" s="567" t="s">
        <v>427</v>
      </c>
      <c r="C103" s="287">
        <f>C104+C105</f>
        <v>5470804.0800000001</v>
      </c>
      <c r="D103" s="527">
        <f t="shared" ref="D103:G103" si="51">D104+D105</f>
        <v>5470804.0800000001</v>
      </c>
      <c r="E103" s="401">
        <f t="shared" si="51"/>
        <v>3704172.0231144</v>
      </c>
      <c r="F103" s="401">
        <f t="shared" si="51"/>
        <v>273540.20899999997</v>
      </c>
      <c r="G103" s="528">
        <f t="shared" si="51"/>
        <v>1493091.8478855996</v>
      </c>
      <c r="H103" s="393">
        <f>H104+H105</f>
        <v>5470804.0800000001</v>
      </c>
      <c r="I103" s="674">
        <f t="shared" ref="I103" si="52">I104+I105</f>
        <v>3704172.02</v>
      </c>
      <c r="J103" s="401">
        <f t="shared" ref="J103" si="53">J104+J105</f>
        <v>273540.20999999996</v>
      </c>
      <c r="K103" s="528">
        <f t="shared" ref="K103" si="54">K104+K105</f>
        <v>1493091.8499999999</v>
      </c>
      <c r="L103" s="565"/>
      <c r="M103" s="651"/>
    </row>
    <row r="104" spans="1:13" s="364" customFormat="1" outlineLevel="1" x14ac:dyDescent="0.25">
      <c r="A104" s="246"/>
      <c r="B104" s="248" t="s">
        <v>555</v>
      </c>
      <c r="C104" s="509">
        <v>5384253.1799999997</v>
      </c>
      <c r="D104" s="316">
        <f>E104+F104+G104</f>
        <v>5384253.1799999997</v>
      </c>
      <c r="E104" s="257">
        <f>C104*0.67708</f>
        <v>3645570.1431144001</v>
      </c>
      <c r="F104" s="257">
        <f>C104*0.05</f>
        <v>269212.65899999999</v>
      </c>
      <c r="G104" s="269">
        <f>C104-E104-F104</f>
        <v>1469470.3778855996</v>
      </c>
      <c r="H104" s="316">
        <f>SUM(I104:K104)</f>
        <v>5384253.1799999997</v>
      </c>
      <c r="I104" s="257">
        <v>3645570.14</v>
      </c>
      <c r="J104" s="257">
        <v>269212.65999999997</v>
      </c>
      <c r="K104" s="269">
        <v>1469470.38</v>
      </c>
      <c r="L104" s="270" t="s">
        <v>798</v>
      </c>
      <c r="M104" s="597">
        <v>42605</v>
      </c>
    </row>
    <row r="105" spans="1:13" s="364" customFormat="1" outlineLevel="1" x14ac:dyDescent="0.25">
      <c r="A105" s="246"/>
      <c r="B105" s="248" t="s">
        <v>67</v>
      </c>
      <c r="C105" s="509">
        <v>86550.9</v>
      </c>
      <c r="D105" s="316">
        <f>E105+F105+G105</f>
        <v>86550.9</v>
      </c>
      <c r="E105" s="257">
        <v>58601.88</v>
      </c>
      <c r="F105" s="257">
        <v>4327.55</v>
      </c>
      <c r="G105" s="269">
        <v>23621.47</v>
      </c>
      <c r="H105" s="316">
        <f>SUM(I105:K105)</f>
        <v>86550.9</v>
      </c>
      <c r="I105" s="257">
        <v>58601.88</v>
      </c>
      <c r="J105" s="257">
        <v>4327.55</v>
      </c>
      <c r="K105" s="269">
        <v>23621.47</v>
      </c>
      <c r="L105" s="270" t="s">
        <v>825</v>
      </c>
      <c r="M105" s="597">
        <v>42495</v>
      </c>
    </row>
    <row r="106" spans="1:13" s="566" customFormat="1" ht="30" customHeight="1" x14ac:dyDescent="0.2">
      <c r="A106" s="286">
        <v>30</v>
      </c>
      <c r="B106" s="567" t="s">
        <v>428</v>
      </c>
      <c r="C106" s="287">
        <f>C107+C108</f>
        <v>4053025.1799999997</v>
      </c>
      <c r="D106" s="527">
        <f t="shared" ref="D106:G106" si="55">D107+D108</f>
        <v>4053025.18</v>
      </c>
      <c r="E106" s="401">
        <f t="shared" si="55"/>
        <v>2744222.2855023998</v>
      </c>
      <c r="F106" s="401">
        <f t="shared" si="55"/>
        <v>202651.264</v>
      </c>
      <c r="G106" s="528">
        <f t="shared" si="55"/>
        <v>1106151.6304976</v>
      </c>
      <c r="H106" s="393">
        <f>H107+H108</f>
        <v>4053025.18</v>
      </c>
      <c r="I106" s="674">
        <f t="shared" ref="I106:K106" si="56">I107+I108</f>
        <v>2744222.29</v>
      </c>
      <c r="J106" s="401">
        <f t="shared" si="56"/>
        <v>202651.25999999998</v>
      </c>
      <c r="K106" s="528">
        <f t="shared" si="56"/>
        <v>1106151.6299999999</v>
      </c>
      <c r="L106" s="565"/>
      <c r="M106" s="651"/>
    </row>
    <row r="107" spans="1:13" s="364" customFormat="1" outlineLevel="1" x14ac:dyDescent="0.25">
      <c r="A107" s="246"/>
      <c r="B107" s="248" t="s">
        <v>555</v>
      </c>
      <c r="C107" s="509">
        <v>3966474.28</v>
      </c>
      <c r="D107" s="316">
        <f>E107+F107+G107</f>
        <v>3966474.2800000003</v>
      </c>
      <c r="E107" s="257">
        <f>0.67708*C107</f>
        <v>2685620.4055023999</v>
      </c>
      <c r="F107" s="257">
        <f>C107*5%</f>
        <v>198323.71400000001</v>
      </c>
      <c r="G107" s="269">
        <f>C107-E107-F107</f>
        <v>1082530.1604976</v>
      </c>
      <c r="H107" s="316">
        <f>I107+J107+K107</f>
        <v>3966474.2800000003</v>
      </c>
      <c r="I107" s="257">
        <v>2685620.41</v>
      </c>
      <c r="J107" s="257">
        <v>198323.71</v>
      </c>
      <c r="K107" s="269">
        <v>1082530.1599999999</v>
      </c>
      <c r="L107" s="270" t="s">
        <v>806</v>
      </c>
      <c r="M107" s="655" t="s">
        <v>805</v>
      </c>
    </row>
    <row r="108" spans="1:13" s="364" customFormat="1" outlineLevel="1" x14ac:dyDescent="0.25">
      <c r="A108" s="246"/>
      <c r="B108" s="248" t="s">
        <v>67</v>
      </c>
      <c r="C108" s="509">
        <v>86550.9</v>
      </c>
      <c r="D108" s="316">
        <f>E108+F108+G108</f>
        <v>86550.9</v>
      </c>
      <c r="E108" s="660">
        <v>58601.88</v>
      </c>
      <c r="F108" s="660">
        <v>4327.55</v>
      </c>
      <c r="G108" s="661">
        <v>23621.47</v>
      </c>
      <c r="H108" s="316">
        <f>SUM(I108:K108)</f>
        <v>86550.9</v>
      </c>
      <c r="I108" s="257">
        <v>58601.88</v>
      </c>
      <c r="J108" s="257">
        <v>4327.55</v>
      </c>
      <c r="K108" s="269">
        <v>23621.47</v>
      </c>
      <c r="L108" s="270" t="s">
        <v>825</v>
      </c>
      <c r="M108" s="597">
        <v>42495</v>
      </c>
    </row>
    <row r="109" spans="1:13" s="68" customFormat="1" ht="30" customHeight="1" x14ac:dyDescent="0.2">
      <c r="A109" s="330">
        <v>31</v>
      </c>
      <c r="B109" s="331" t="s">
        <v>429</v>
      </c>
      <c r="C109" s="532">
        <f>C110+C111+C112</f>
        <v>100266.63</v>
      </c>
      <c r="D109" s="228">
        <f>E109+F109+G109</f>
        <v>100266.63</v>
      </c>
      <c r="E109" s="532">
        <f t="shared" ref="E109" si="57">E110+E111+E112</f>
        <v>67888.53</v>
      </c>
      <c r="F109" s="532">
        <f t="shared" ref="F109" si="58">F110+F111+F112</f>
        <v>5013.33</v>
      </c>
      <c r="G109" s="532">
        <f t="shared" ref="G109" si="59">G110+G111+G112</f>
        <v>27364.77</v>
      </c>
      <c r="H109" s="228">
        <f>I109+J109+K109</f>
        <v>100266.63</v>
      </c>
      <c r="I109" s="532">
        <f t="shared" ref="I109" si="60">I110+I111+I112</f>
        <v>67888.53</v>
      </c>
      <c r="J109" s="532">
        <f t="shared" ref="J109" si="61">J110+J111+J112</f>
        <v>5013.33</v>
      </c>
      <c r="K109" s="532">
        <f t="shared" ref="K109" si="62">K110+K111+K112</f>
        <v>27364.77</v>
      </c>
      <c r="L109" s="321"/>
      <c r="M109" s="652"/>
    </row>
    <row r="110" spans="1:13" outlineLevel="1" x14ac:dyDescent="0.25">
      <c r="A110" s="332"/>
      <c r="B110" s="16" t="s">
        <v>555</v>
      </c>
      <c r="C110" s="508"/>
      <c r="D110" s="53"/>
      <c r="E110" s="11"/>
      <c r="F110" s="11"/>
      <c r="G110" s="106"/>
      <c r="H110" s="53"/>
      <c r="I110" s="11"/>
      <c r="J110" s="11"/>
      <c r="K110" s="106"/>
      <c r="L110" s="27"/>
    </row>
    <row r="111" spans="1:13" outlineLevel="1" x14ac:dyDescent="0.25">
      <c r="A111" s="332"/>
      <c r="B111" s="16" t="s">
        <v>554</v>
      </c>
      <c r="C111" s="508"/>
      <c r="D111" s="53"/>
      <c r="E111" s="11"/>
      <c r="F111" s="11"/>
      <c r="G111" s="106"/>
      <c r="H111" s="53"/>
      <c r="I111" s="11"/>
      <c r="J111" s="11"/>
      <c r="K111" s="106"/>
      <c r="L111" s="27"/>
    </row>
    <row r="112" spans="1:13" s="364" customFormat="1" outlineLevel="1" x14ac:dyDescent="0.25">
      <c r="A112" s="246"/>
      <c r="B112" s="248" t="s">
        <v>67</v>
      </c>
      <c r="C112" s="509">
        <v>100266.63</v>
      </c>
      <c r="D112" s="316">
        <f>SUM(E112:G112)</f>
        <v>100266.63</v>
      </c>
      <c r="E112" s="257">
        <v>67888.53</v>
      </c>
      <c r="F112" s="257">
        <v>5013.33</v>
      </c>
      <c r="G112" s="269">
        <v>27364.77</v>
      </c>
      <c r="H112" s="316">
        <f>SUM(I112:K112)</f>
        <v>100266.63</v>
      </c>
      <c r="I112" s="257">
        <v>67888.53</v>
      </c>
      <c r="J112" s="257">
        <v>5013.33</v>
      </c>
      <c r="K112" s="269">
        <v>27364.77</v>
      </c>
      <c r="L112" s="270" t="s">
        <v>825</v>
      </c>
      <c r="M112" s="597">
        <v>42495</v>
      </c>
    </row>
    <row r="113" spans="1:13" s="68" customFormat="1" ht="30" customHeight="1" x14ac:dyDescent="0.2">
      <c r="A113" s="330">
        <v>32</v>
      </c>
      <c r="B113" s="331" t="s">
        <v>608</v>
      </c>
      <c r="C113" s="507"/>
      <c r="D113" s="323"/>
      <c r="E113" s="189"/>
      <c r="F113" s="189"/>
      <c r="G113" s="324"/>
      <c r="H113" s="323"/>
      <c r="I113" s="189"/>
      <c r="J113" s="189"/>
      <c r="K113" s="324"/>
      <c r="L113" s="321"/>
      <c r="M113" s="652"/>
    </row>
    <row r="114" spans="1:13" outlineLevel="1" x14ac:dyDescent="0.25">
      <c r="A114" s="332"/>
      <c r="B114" s="16" t="s">
        <v>557</v>
      </c>
      <c r="C114" s="508"/>
      <c r="D114" s="53"/>
      <c r="E114" s="11"/>
      <c r="F114" s="11"/>
      <c r="G114" s="106"/>
      <c r="H114" s="53"/>
      <c r="I114" s="11"/>
      <c r="J114" s="11"/>
      <c r="K114" s="106"/>
      <c r="L114" s="27"/>
    </row>
    <row r="115" spans="1:13" outlineLevel="1" x14ac:dyDescent="0.25">
      <c r="A115" s="332"/>
      <c r="B115" s="16" t="s">
        <v>554</v>
      </c>
      <c r="C115" s="508"/>
      <c r="D115" s="53"/>
      <c r="E115" s="11"/>
      <c r="F115" s="11"/>
      <c r="G115" s="106"/>
      <c r="H115" s="53"/>
      <c r="I115" s="11"/>
      <c r="J115" s="11"/>
      <c r="K115" s="106"/>
      <c r="L115" s="27"/>
    </row>
    <row r="116" spans="1:13" outlineLevel="1" x14ac:dyDescent="0.25">
      <c r="A116" s="332"/>
      <c r="B116" s="16" t="s">
        <v>67</v>
      </c>
      <c r="C116" s="508"/>
      <c r="D116" s="53"/>
      <c r="E116" s="11"/>
      <c r="F116" s="11"/>
      <c r="G116" s="106"/>
      <c r="H116" s="53"/>
      <c r="I116" s="11"/>
      <c r="J116" s="11"/>
      <c r="K116" s="106"/>
      <c r="L116" s="27"/>
    </row>
    <row r="117" spans="1:13" s="68" customFormat="1" ht="29.25" customHeight="1" x14ac:dyDescent="0.2">
      <c r="A117" s="330">
        <v>33</v>
      </c>
      <c r="B117" s="331" t="s">
        <v>430</v>
      </c>
      <c r="C117" s="532">
        <f>C118+C119+C120</f>
        <v>73015.199999999997</v>
      </c>
      <c r="D117" s="228">
        <f>E117+F117+G117</f>
        <v>73015.199999999997</v>
      </c>
      <c r="E117" s="532">
        <f t="shared" ref="E117" si="63">E118+E119+E120</f>
        <v>49437.13</v>
      </c>
      <c r="F117" s="532">
        <f t="shared" ref="F117" si="64">F118+F119+F120</f>
        <v>3650.76</v>
      </c>
      <c r="G117" s="532">
        <f t="shared" ref="G117" si="65">G118+G119+G120</f>
        <v>19927.310000000001</v>
      </c>
      <c r="H117" s="228">
        <f>I117+J117+K117</f>
        <v>73015.199999999997</v>
      </c>
      <c r="I117" s="532">
        <f t="shared" ref="I117" si="66">I118+I119+I120</f>
        <v>49437.13</v>
      </c>
      <c r="J117" s="532">
        <f t="shared" ref="J117" si="67">J118+J119+J120</f>
        <v>3650.76</v>
      </c>
      <c r="K117" s="532">
        <f t="shared" ref="K117" si="68">K118+K119+K120</f>
        <v>19927.310000000001</v>
      </c>
      <c r="L117" s="321"/>
      <c r="M117" s="652"/>
    </row>
    <row r="118" spans="1:13" outlineLevel="1" x14ac:dyDescent="0.25">
      <c r="A118" s="332"/>
      <c r="B118" s="16" t="s">
        <v>555</v>
      </c>
      <c r="C118" s="508"/>
      <c r="D118" s="53"/>
      <c r="E118" s="11"/>
      <c r="F118" s="11"/>
      <c r="G118" s="106"/>
      <c r="H118" s="53"/>
      <c r="I118" s="11"/>
      <c r="J118" s="11"/>
      <c r="K118" s="106"/>
      <c r="L118" s="27"/>
    </row>
    <row r="119" spans="1:13" outlineLevel="1" x14ac:dyDescent="0.25">
      <c r="A119" s="332"/>
      <c r="B119" s="16" t="s">
        <v>554</v>
      </c>
      <c r="C119" s="508"/>
      <c r="D119" s="53"/>
      <c r="E119" s="11"/>
      <c r="F119" s="11"/>
      <c r="G119" s="106"/>
      <c r="H119" s="53"/>
      <c r="I119" s="11"/>
      <c r="J119" s="11"/>
      <c r="K119" s="106"/>
      <c r="L119" s="27"/>
    </row>
    <row r="120" spans="1:13" s="364" customFormat="1" outlineLevel="1" x14ac:dyDescent="0.25">
      <c r="A120" s="246"/>
      <c r="B120" s="248" t="s">
        <v>67</v>
      </c>
      <c r="C120" s="509">
        <v>73015.199999999997</v>
      </c>
      <c r="D120" s="316">
        <f>SUM(E120:G120)</f>
        <v>73015.199999999997</v>
      </c>
      <c r="E120" s="257">
        <v>49437.13</v>
      </c>
      <c r="F120" s="257">
        <v>3650.76</v>
      </c>
      <c r="G120" s="269">
        <v>19927.310000000001</v>
      </c>
      <c r="H120" s="316">
        <f>SUM(I120:K120)</f>
        <v>73015.199999999997</v>
      </c>
      <c r="I120" s="257">
        <v>49437.13</v>
      </c>
      <c r="J120" s="257">
        <v>3650.76</v>
      </c>
      <c r="K120" s="269">
        <v>19927.310000000001</v>
      </c>
      <c r="L120" s="270" t="s">
        <v>825</v>
      </c>
      <c r="M120" s="597">
        <v>42495</v>
      </c>
    </row>
    <row r="121" spans="1:13" s="68" customFormat="1" ht="29.25" customHeight="1" x14ac:dyDescent="0.2">
      <c r="A121" s="330">
        <v>34</v>
      </c>
      <c r="B121" s="331" t="s">
        <v>431</v>
      </c>
      <c r="C121" s="532">
        <f>C122+C123+C124+C125+C126+C127</f>
        <v>0</v>
      </c>
      <c r="D121" s="228">
        <f>E121+F121+G121</f>
        <v>0</v>
      </c>
      <c r="E121" s="532">
        <f t="shared" ref="E121:G121" si="69">E122+E123+E124+E125+E126+E127</f>
        <v>0</v>
      </c>
      <c r="F121" s="532">
        <f t="shared" si="69"/>
        <v>0</v>
      </c>
      <c r="G121" s="532">
        <f t="shared" si="69"/>
        <v>0</v>
      </c>
      <c r="H121" s="228">
        <f>I121+J121+K121</f>
        <v>0</v>
      </c>
      <c r="I121" s="532">
        <f t="shared" ref="I121:K121" si="70">I122+I123+I124+I125+I126+I127</f>
        <v>0</v>
      </c>
      <c r="J121" s="532">
        <f t="shared" si="70"/>
        <v>0</v>
      </c>
      <c r="K121" s="532">
        <f t="shared" si="70"/>
        <v>0</v>
      </c>
      <c r="L121" s="321"/>
      <c r="M121" s="652"/>
    </row>
    <row r="122" spans="1:13" outlineLevel="1" x14ac:dyDescent="0.25">
      <c r="A122" s="332"/>
      <c r="B122" s="43" t="s">
        <v>68</v>
      </c>
      <c r="C122" s="508"/>
      <c r="D122" s="53"/>
      <c r="E122" s="11"/>
      <c r="F122" s="11"/>
      <c r="G122" s="106"/>
      <c r="H122" s="53"/>
      <c r="I122" s="11"/>
      <c r="J122" s="11"/>
      <c r="K122" s="106"/>
      <c r="L122" s="27"/>
    </row>
    <row r="123" spans="1:13" outlineLevel="1" x14ac:dyDescent="0.25">
      <c r="A123" s="332"/>
      <c r="B123" s="43" t="s">
        <v>64</v>
      </c>
      <c r="C123" s="508"/>
      <c r="D123" s="53"/>
      <c r="E123" s="11"/>
      <c r="F123" s="11"/>
      <c r="G123" s="106"/>
      <c r="H123" s="53"/>
      <c r="I123" s="11"/>
      <c r="J123" s="11"/>
      <c r="K123" s="106"/>
      <c r="L123" s="27"/>
    </row>
    <row r="124" spans="1:13" outlineLevel="1" x14ac:dyDescent="0.25">
      <c r="A124" s="332"/>
      <c r="B124" s="43" t="s">
        <v>65</v>
      </c>
      <c r="C124" s="508"/>
      <c r="D124" s="53"/>
      <c r="E124" s="11"/>
      <c r="F124" s="11"/>
      <c r="G124" s="106"/>
      <c r="H124" s="53"/>
      <c r="I124" s="11"/>
      <c r="J124" s="11"/>
      <c r="K124" s="106"/>
      <c r="L124" s="27"/>
    </row>
    <row r="125" spans="1:13" outlineLevel="1" x14ac:dyDescent="0.25">
      <c r="A125" s="332"/>
      <c r="B125" s="43" t="s">
        <v>66</v>
      </c>
      <c r="C125" s="508"/>
      <c r="D125" s="53"/>
      <c r="E125" s="11"/>
      <c r="F125" s="11"/>
      <c r="G125" s="106"/>
      <c r="H125" s="53"/>
      <c r="I125" s="11"/>
      <c r="J125" s="11"/>
      <c r="K125" s="106"/>
      <c r="L125" s="27"/>
    </row>
    <row r="126" spans="1:13" outlineLevel="1" x14ac:dyDescent="0.25">
      <c r="A126" s="332"/>
      <c r="B126" s="16" t="s">
        <v>554</v>
      </c>
      <c r="C126" s="508"/>
      <c r="D126" s="53"/>
      <c r="E126" s="11"/>
      <c r="F126" s="11"/>
      <c r="G126" s="106"/>
      <c r="H126" s="53"/>
      <c r="I126" s="11"/>
      <c r="J126" s="11"/>
      <c r="K126" s="106"/>
      <c r="L126" s="27"/>
    </row>
    <row r="127" spans="1:13" outlineLevel="1" x14ac:dyDescent="0.25">
      <c r="A127" s="332"/>
      <c r="B127" s="16" t="s">
        <v>67</v>
      </c>
      <c r="C127" s="508"/>
      <c r="D127" s="53"/>
      <c r="E127" s="11"/>
      <c r="F127" s="11"/>
      <c r="G127" s="106"/>
      <c r="H127" s="53"/>
      <c r="I127" s="11"/>
      <c r="J127" s="11"/>
      <c r="K127" s="106"/>
      <c r="L127" s="27"/>
    </row>
    <row r="128" spans="1:13" s="68" customFormat="1" ht="30.75" customHeight="1" x14ac:dyDescent="0.2">
      <c r="A128" s="330">
        <v>35</v>
      </c>
      <c r="B128" s="331" t="s">
        <v>432</v>
      </c>
      <c r="C128" s="532">
        <f>C129+C130+C131</f>
        <v>87050.05</v>
      </c>
      <c r="D128" s="228">
        <f>E128+F128+G128</f>
        <v>87050.05</v>
      </c>
      <c r="E128" s="532">
        <f t="shared" ref="E128" si="71">E129+E130+E131</f>
        <v>58939.85</v>
      </c>
      <c r="F128" s="532">
        <f t="shared" ref="F128" si="72">F129+F130+F131</f>
        <v>4352.5</v>
      </c>
      <c r="G128" s="532">
        <f t="shared" ref="G128" si="73">G129+G130+G131</f>
        <v>23757.7</v>
      </c>
      <c r="H128" s="228">
        <f>I128+J128+K128</f>
        <v>87050.05</v>
      </c>
      <c r="I128" s="532">
        <f t="shared" ref="I128" si="74">I129+I130+I131</f>
        <v>58939.85</v>
      </c>
      <c r="J128" s="532">
        <f t="shared" ref="J128" si="75">J129+J130+J131</f>
        <v>4352.5</v>
      </c>
      <c r="K128" s="532">
        <f t="shared" ref="K128" si="76">K129+K130+K131</f>
        <v>23757.7</v>
      </c>
      <c r="L128" s="321"/>
      <c r="M128" s="652"/>
    </row>
    <row r="129" spans="1:13" outlineLevel="1" x14ac:dyDescent="0.25">
      <c r="A129" s="332"/>
      <c r="B129" s="16" t="s">
        <v>555</v>
      </c>
      <c r="C129" s="508"/>
      <c r="D129" s="53"/>
      <c r="E129" s="11"/>
      <c r="F129" s="11"/>
      <c r="G129" s="106"/>
      <c r="H129" s="53"/>
      <c r="I129" s="11"/>
      <c r="J129" s="11"/>
      <c r="K129" s="106"/>
      <c r="L129" s="27"/>
    </row>
    <row r="130" spans="1:13" outlineLevel="1" x14ac:dyDescent="0.25">
      <c r="A130" s="332"/>
      <c r="B130" s="16" t="s">
        <v>554</v>
      </c>
      <c r="C130" s="508"/>
      <c r="D130" s="53"/>
      <c r="E130" s="11"/>
      <c r="F130" s="11"/>
      <c r="G130" s="106"/>
      <c r="H130" s="53"/>
      <c r="I130" s="11"/>
      <c r="J130" s="11"/>
      <c r="K130" s="106"/>
      <c r="L130" s="27"/>
    </row>
    <row r="131" spans="1:13" s="364" customFormat="1" outlineLevel="1" x14ac:dyDescent="0.25">
      <c r="A131" s="246"/>
      <c r="B131" s="248" t="s">
        <v>67</v>
      </c>
      <c r="C131" s="509">
        <v>87050.05</v>
      </c>
      <c r="D131" s="316">
        <f>SUM(E131:G131)</f>
        <v>87050.05</v>
      </c>
      <c r="E131" s="257">
        <v>58939.85</v>
      </c>
      <c r="F131" s="257">
        <v>4352.5</v>
      </c>
      <c r="G131" s="269">
        <v>23757.7</v>
      </c>
      <c r="H131" s="316">
        <f>SUM(I131:K131)</f>
        <v>87050.05</v>
      </c>
      <c r="I131" s="257">
        <v>58939.85</v>
      </c>
      <c r="J131" s="257">
        <v>4352.5</v>
      </c>
      <c r="K131" s="269">
        <v>23757.7</v>
      </c>
      <c r="L131" s="270" t="s">
        <v>825</v>
      </c>
      <c r="M131" s="597">
        <v>42495</v>
      </c>
    </row>
    <row r="132" spans="1:13" s="68" customFormat="1" ht="36.75" customHeight="1" x14ac:dyDescent="0.2">
      <c r="A132" s="330">
        <v>36</v>
      </c>
      <c r="B132" s="331" t="s">
        <v>433</v>
      </c>
      <c r="C132" s="532">
        <f>C133+C134+C135</f>
        <v>85865.83</v>
      </c>
      <c r="D132" s="228">
        <f>E132+F132+G132</f>
        <v>85865.83</v>
      </c>
      <c r="E132" s="532">
        <f t="shared" ref="E132" si="77">E133+E134+E135</f>
        <v>58138.04</v>
      </c>
      <c r="F132" s="532">
        <f t="shared" ref="F132" si="78">F133+F134+F135</f>
        <v>4293.29</v>
      </c>
      <c r="G132" s="532">
        <f t="shared" ref="G132" si="79">G133+G134+G135</f>
        <v>23434.5</v>
      </c>
      <c r="H132" s="228">
        <f>I132+J132+K132</f>
        <v>85865.83</v>
      </c>
      <c r="I132" s="532">
        <f t="shared" ref="I132" si="80">I133+I134+I135</f>
        <v>58138.04</v>
      </c>
      <c r="J132" s="532">
        <f t="shared" ref="J132" si="81">J133+J134+J135</f>
        <v>4293.29</v>
      </c>
      <c r="K132" s="532">
        <f t="shared" ref="K132" si="82">K133+K134+K135</f>
        <v>23434.5</v>
      </c>
      <c r="L132" s="321"/>
      <c r="M132" s="652"/>
    </row>
    <row r="133" spans="1:13" outlineLevel="1" x14ac:dyDescent="0.25">
      <c r="A133" s="332"/>
      <c r="B133" s="16" t="s">
        <v>555</v>
      </c>
      <c r="C133" s="508"/>
      <c r="D133" s="53"/>
      <c r="E133" s="11"/>
      <c r="F133" s="11"/>
      <c r="G133" s="106"/>
      <c r="H133" s="53"/>
      <c r="I133" s="11"/>
      <c r="J133" s="11"/>
      <c r="K133" s="106"/>
      <c r="L133" s="27"/>
    </row>
    <row r="134" spans="1:13" outlineLevel="1" x14ac:dyDescent="0.25">
      <c r="A134" s="332"/>
      <c r="B134" s="16" t="s">
        <v>554</v>
      </c>
      <c r="C134" s="508"/>
      <c r="D134" s="53"/>
      <c r="E134" s="11"/>
      <c r="F134" s="11"/>
      <c r="G134" s="106"/>
      <c r="H134" s="53"/>
      <c r="I134" s="11"/>
      <c r="J134" s="11"/>
      <c r="K134" s="106"/>
      <c r="L134" s="27"/>
    </row>
    <row r="135" spans="1:13" s="364" customFormat="1" outlineLevel="1" x14ac:dyDescent="0.25">
      <c r="A135" s="246"/>
      <c r="B135" s="248" t="s">
        <v>67</v>
      </c>
      <c r="C135" s="509">
        <v>85865.83</v>
      </c>
      <c r="D135" s="316">
        <f>SUM(E135:G135)</f>
        <v>85865.83</v>
      </c>
      <c r="E135" s="257">
        <v>58138.04</v>
      </c>
      <c r="F135" s="257">
        <v>4293.29</v>
      </c>
      <c r="G135" s="269">
        <v>23434.5</v>
      </c>
      <c r="H135" s="316">
        <f>SUM(I135:K135)</f>
        <v>85865.83</v>
      </c>
      <c r="I135" s="257">
        <v>58138.04</v>
      </c>
      <c r="J135" s="257">
        <v>4293.29</v>
      </c>
      <c r="K135" s="269">
        <v>23434.5</v>
      </c>
      <c r="L135" s="270" t="s">
        <v>825</v>
      </c>
      <c r="M135" s="597">
        <v>42495</v>
      </c>
    </row>
    <row r="136" spans="1:13" s="534" customFormat="1" ht="33" customHeight="1" x14ac:dyDescent="0.2">
      <c r="A136" s="88">
        <v>37</v>
      </c>
      <c r="B136" s="582" t="s">
        <v>434</v>
      </c>
      <c r="C136" s="285">
        <f>SUM(C137:C138)</f>
        <v>13285162.01</v>
      </c>
      <c r="D136" s="315">
        <f>E136+F136+G136</f>
        <v>13285162.01</v>
      </c>
      <c r="E136" s="86">
        <f>SUM(E137:E138)</f>
        <v>8995110.068192983</v>
      </c>
      <c r="F136" s="86">
        <f>SUM(F137:F138)</f>
        <v>664258.10050000006</v>
      </c>
      <c r="G136" s="86">
        <f>SUM(G137:G138)</f>
        <v>3625793.8413070166</v>
      </c>
      <c r="H136" s="228">
        <f>SUM(I136:K136)</f>
        <v>13285162.01</v>
      </c>
      <c r="I136" s="201">
        <f>SUM(I137:I138)</f>
        <v>8995110.0700000003</v>
      </c>
      <c r="J136" s="201">
        <f t="shared" ref="J136:K136" si="83">SUM(J137:J138)</f>
        <v>664258.1</v>
      </c>
      <c r="K136" s="201">
        <f t="shared" si="83"/>
        <v>3625793.84</v>
      </c>
      <c r="L136" s="533"/>
      <c r="M136" s="654"/>
    </row>
    <row r="137" spans="1:13" s="364" customFormat="1" outlineLevel="1" x14ac:dyDescent="0.25">
      <c r="A137" s="246"/>
      <c r="B137" s="248" t="s">
        <v>555</v>
      </c>
      <c r="C137" s="509">
        <f>12949147.57+336014.44</f>
        <v>13285162.01</v>
      </c>
      <c r="D137" s="300">
        <f>E137+F137+G137</f>
        <v>13285162.01</v>
      </c>
      <c r="E137" s="257">
        <f>C137*0.677079441065317</f>
        <v>8995110.068192983</v>
      </c>
      <c r="F137" s="257">
        <f>C137*5%</f>
        <v>664258.10050000006</v>
      </c>
      <c r="G137" s="248">
        <f>C137-E137-F137</f>
        <v>3625793.8413070166</v>
      </c>
      <c r="H137" s="249">
        <f>SUM(I137:K137)</f>
        <v>13285162.01</v>
      </c>
      <c r="I137" s="257">
        <v>8995110.0700000003</v>
      </c>
      <c r="J137" s="257">
        <v>664258.1</v>
      </c>
      <c r="K137" s="269">
        <v>3625793.84</v>
      </c>
      <c r="L137" s="270" t="s">
        <v>765</v>
      </c>
      <c r="M137" s="597">
        <v>42585</v>
      </c>
    </row>
    <row r="138" spans="1:13" outlineLevel="1" x14ac:dyDescent="0.25">
      <c r="A138" s="332"/>
      <c r="B138" s="16" t="s">
        <v>67</v>
      </c>
      <c r="C138" s="508"/>
      <c r="D138" s="53"/>
      <c r="E138" s="11"/>
      <c r="F138" s="11"/>
      <c r="G138" s="106"/>
      <c r="H138" s="53"/>
      <c r="I138" s="11"/>
      <c r="J138" s="11"/>
      <c r="K138" s="106"/>
      <c r="L138" s="27"/>
    </row>
    <row r="139" spans="1:13" s="68" customFormat="1" ht="27" customHeight="1" x14ac:dyDescent="0.2">
      <c r="A139" s="330">
        <v>38</v>
      </c>
      <c r="B139" s="333" t="s">
        <v>435</v>
      </c>
      <c r="C139" s="532">
        <f>C140+C141+C142</f>
        <v>82359.94</v>
      </c>
      <c r="D139" s="228">
        <f>E139+F139+G139</f>
        <v>82359.94</v>
      </c>
      <c r="E139" s="532">
        <f t="shared" ref="E139" si="84">E140+E141+E142</f>
        <v>55764.27</v>
      </c>
      <c r="F139" s="532">
        <f t="shared" ref="F139" si="85">F140+F141+F142</f>
        <v>4118</v>
      </c>
      <c r="G139" s="532">
        <f t="shared" ref="G139" si="86">G140+G141+G142</f>
        <v>22477.67</v>
      </c>
      <c r="H139" s="228">
        <f>I139+J139+K139</f>
        <v>82359.94</v>
      </c>
      <c r="I139" s="532">
        <f t="shared" ref="I139" si="87">I140+I141+I142</f>
        <v>55764.27</v>
      </c>
      <c r="J139" s="532">
        <f t="shared" ref="J139" si="88">J140+J141+J142</f>
        <v>4118</v>
      </c>
      <c r="K139" s="532">
        <f t="shared" ref="K139" si="89">K140+K141+K142</f>
        <v>22477.67</v>
      </c>
      <c r="L139" s="321"/>
      <c r="M139" s="652"/>
    </row>
    <row r="140" spans="1:13" outlineLevel="1" x14ac:dyDescent="0.25">
      <c r="A140" s="332"/>
      <c r="B140" s="16" t="s">
        <v>555</v>
      </c>
      <c r="C140" s="508"/>
      <c r="D140" s="53"/>
      <c r="E140" s="11"/>
      <c r="F140" s="11"/>
      <c r="G140" s="106"/>
      <c r="H140" s="53"/>
      <c r="I140" s="11"/>
      <c r="J140" s="11"/>
      <c r="K140" s="106"/>
      <c r="L140" s="27"/>
    </row>
    <row r="141" spans="1:13" outlineLevel="1" x14ac:dyDescent="0.25">
      <c r="A141" s="332"/>
      <c r="B141" s="16" t="s">
        <v>554</v>
      </c>
      <c r="C141" s="508"/>
      <c r="D141" s="53"/>
      <c r="E141" s="11"/>
      <c r="F141" s="11"/>
      <c r="G141" s="106"/>
      <c r="H141" s="53"/>
      <c r="I141" s="11"/>
      <c r="J141" s="11"/>
      <c r="K141" s="106"/>
      <c r="L141" s="27"/>
    </row>
    <row r="142" spans="1:13" s="364" customFormat="1" outlineLevel="1" x14ac:dyDescent="0.25">
      <c r="A142" s="246"/>
      <c r="B142" s="248" t="s">
        <v>67</v>
      </c>
      <c r="C142" s="509">
        <v>82359.94</v>
      </c>
      <c r="D142" s="316">
        <f>SUM(E142:G142)</f>
        <v>82359.94</v>
      </c>
      <c r="E142" s="257">
        <v>55764.27</v>
      </c>
      <c r="F142" s="257">
        <v>4118</v>
      </c>
      <c r="G142" s="269">
        <v>22477.67</v>
      </c>
      <c r="H142" s="316">
        <f>SUM(I142:K142)</f>
        <v>82359.94</v>
      </c>
      <c r="I142" s="257">
        <v>55764.27</v>
      </c>
      <c r="J142" s="257">
        <v>4118</v>
      </c>
      <c r="K142" s="269">
        <v>22477.67</v>
      </c>
      <c r="L142" s="270" t="s">
        <v>825</v>
      </c>
      <c r="M142" s="597">
        <v>42495</v>
      </c>
    </row>
    <row r="143" spans="1:13" s="68" customFormat="1" ht="32.25" customHeight="1" x14ac:dyDescent="0.2">
      <c r="A143" s="330">
        <v>39</v>
      </c>
      <c r="B143" s="531" t="s">
        <v>436</v>
      </c>
      <c r="C143" s="532">
        <f>C144+C145+C146</f>
        <v>0</v>
      </c>
      <c r="D143" s="228">
        <f>E143+F143+G143</f>
        <v>0</v>
      </c>
      <c r="E143" s="532">
        <f t="shared" ref="E143:G143" si="90">E144+E145+E146</f>
        <v>0</v>
      </c>
      <c r="F143" s="532">
        <f t="shared" si="90"/>
        <v>0</v>
      </c>
      <c r="G143" s="532">
        <f t="shared" si="90"/>
        <v>0</v>
      </c>
      <c r="H143" s="228">
        <f>I143+J143+K143</f>
        <v>0</v>
      </c>
      <c r="I143" s="532">
        <f t="shared" ref="I143:K143" si="91">I144+I145+I146</f>
        <v>0</v>
      </c>
      <c r="J143" s="532">
        <f t="shared" si="91"/>
        <v>0</v>
      </c>
      <c r="K143" s="532">
        <f t="shared" si="91"/>
        <v>0</v>
      </c>
      <c r="L143" s="321"/>
      <c r="M143" s="652"/>
    </row>
    <row r="144" spans="1:13" outlineLevel="1" x14ac:dyDescent="0.25">
      <c r="A144" s="332"/>
      <c r="B144" s="16" t="s">
        <v>555</v>
      </c>
      <c r="C144" s="508"/>
      <c r="D144" s="53"/>
      <c r="E144" s="11"/>
      <c r="F144" s="11"/>
      <c r="G144" s="106"/>
      <c r="H144" s="53"/>
      <c r="I144" s="11"/>
      <c r="J144" s="11"/>
      <c r="K144" s="106"/>
      <c r="L144" s="27"/>
    </row>
    <row r="145" spans="1:13" outlineLevel="1" x14ac:dyDescent="0.25">
      <c r="A145" s="332"/>
      <c r="B145" s="16" t="s">
        <v>554</v>
      </c>
      <c r="C145" s="508"/>
      <c r="D145" s="53"/>
      <c r="E145" s="11"/>
      <c r="F145" s="11"/>
      <c r="G145" s="106"/>
      <c r="H145" s="53"/>
      <c r="I145" s="11"/>
      <c r="J145" s="11"/>
      <c r="K145" s="106"/>
      <c r="L145" s="27"/>
    </row>
    <row r="146" spans="1:13" outlineLevel="1" x14ac:dyDescent="0.25">
      <c r="A146" s="332"/>
      <c r="B146" s="16" t="s">
        <v>67</v>
      </c>
      <c r="C146" s="508"/>
      <c r="D146" s="53"/>
      <c r="E146" s="11"/>
      <c r="F146" s="11"/>
      <c r="G146" s="106"/>
      <c r="H146" s="53"/>
      <c r="I146" s="11"/>
      <c r="J146" s="11"/>
      <c r="K146" s="106"/>
      <c r="L146" s="27"/>
    </row>
    <row r="147" spans="1:13" s="534" customFormat="1" ht="33" customHeight="1" x14ac:dyDescent="0.2">
      <c r="A147" s="88">
        <v>40</v>
      </c>
      <c r="B147" s="582" t="s">
        <v>437</v>
      </c>
      <c r="C147" s="285">
        <f>SUM(C148:C149)</f>
        <v>7628792.7300000004</v>
      </c>
      <c r="D147" s="315">
        <f>E147+F147+G147</f>
        <v>7628792.7300000004</v>
      </c>
      <c r="E147" s="86">
        <f>SUM(E148:E149)</f>
        <v>5165302.9816284003</v>
      </c>
      <c r="F147" s="86">
        <f>SUM(F148:F149)</f>
        <v>381439.63650000002</v>
      </c>
      <c r="G147" s="86">
        <f>SUM(G148:G149)</f>
        <v>2082050.1118716002</v>
      </c>
      <c r="H147" s="228">
        <f>SUM(I147:K147)</f>
        <v>7628792.7300000004</v>
      </c>
      <c r="I147" s="201">
        <f>SUM(I148:I149)</f>
        <v>5165302.9800000004</v>
      </c>
      <c r="J147" s="201">
        <f t="shared" ref="J147:K147" si="92">SUM(J148:J149)</f>
        <v>381439.64</v>
      </c>
      <c r="K147" s="201">
        <f t="shared" si="92"/>
        <v>2082050.11</v>
      </c>
      <c r="L147" s="533"/>
      <c r="M147" s="654"/>
    </row>
    <row r="148" spans="1:13" s="364" customFormat="1" outlineLevel="1" x14ac:dyDescent="0.25">
      <c r="A148" s="246"/>
      <c r="B148" s="248" t="s">
        <v>555</v>
      </c>
      <c r="C148" s="509">
        <v>7628792.7300000004</v>
      </c>
      <c r="D148" s="300">
        <f>E148+F148+G148</f>
        <v>7628792.7300000004</v>
      </c>
      <c r="E148" s="257">
        <f>C148*0.67708</f>
        <v>5165302.9816284003</v>
      </c>
      <c r="F148" s="257">
        <f>C148*5%</f>
        <v>381439.63650000002</v>
      </c>
      <c r="G148" s="248">
        <f>C148-E148-F148</f>
        <v>2082050.1118716002</v>
      </c>
      <c r="H148" s="316">
        <f>SUM(I148:K148)</f>
        <v>7628792.7300000004</v>
      </c>
      <c r="I148" s="257">
        <v>5165302.9800000004</v>
      </c>
      <c r="J148" s="257">
        <v>381439.64</v>
      </c>
      <c r="K148" s="269">
        <v>2082050.11</v>
      </c>
      <c r="L148" s="270" t="s">
        <v>784</v>
      </c>
      <c r="M148" s="597" t="s">
        <v>785</v>
      </c>
    </row>
    <row r="149" spans="1:13" outlineLevel="1" x14ac:dyDescent="0.25">
      <c r="A149" s="332"/>
      <c r="B149" s="16" t="s">
        <v>67</v>
      </c>
      <c r="C149" s="508"/>
      <c r="D149" s="53"/>
      <c r="E149" s="11"/>
      <c r="F149" s="11"/>
      <c r="G149" s="106"/>
      <c r="H149" s="53"/>
      <c r="I149" s="11"/>
      <c r="J149" s="11"/>
      <c r="K149" s="106"/>
      <c r="L149" s="27"/>
    </row>
    <row r="150" spans="1:13" s="68" customFormat="1" ht="29.25" customHeight="1" x14ac:dyDescent="0.2">
      <c r="A150" s="330">
        <v>41</v>
      </c>
      <c r="B150" s="333" t="s">
        <v>62</v>
      </c>
      <c r="C150" s="532">
        <f>C151+C152+C153</f>
        <v>0</v>
      </c>
      <c r="D150" s="228">
        <f>E150+F150+G150</f>
        <v>0</v>
      </c>
      <c r="E150" s="532">
        <f t="shared" ref="E150:G150" si="93">E151+E152+E153</f>
        <v>0</v>
      </c>
      <c r="F150" s="532">
        <f t="shared" si="93"/>
        <v>0</v>
      </c>
      <c r="G150" s="532">
        <f t="shared" si="93"/>
        <v>0</v>
      </c>
      <c r="H150" s="228">
        <f>I150+J150+K150</f>
        <v>0</v>
      </c>
      <c r="I150" s="532">
        <f t="shared" ref="I150:K150" si="94">I151+I152+I153</f>
        <v>0</v>
      </c>
      <c r="J150" s="532">
        <f t="shared" si="94"/>
        <v>0</v>
      </c>
      <c r="K150" s="532">
        <f t="shared" si="94"/>
        <v>0</v>
      </c>
      <c r="L150" s="321"/>
      <c r="M150" s="652"/>
    </row>
    <row r="151" spans="1:13" outlineLevel="1" x14ac:dyDescent="0.25">
      <c r="A151" s="332"/>
      <c r="B151" s="16" t="s">
        <v>557</v>
      </c>
      <c r="C151" s="508"/>
      <c r="D151" s="53"/>
      <c r="E151" s="11"/>
      <c r="F151" s="11"/>
      <c r="G151" s="106"/>
      <c r="H151" s="53"/>
      <c r="I151" s="11"/>
      <c r="J151" s="11"/>
      <c r="K151" s="106"/>
      <c r="L151" s="27"/>
    </row>
    <row r="152" spans="1:13" outlineLevel="1" x14ac:dyDescent="0.25">
      <c r="A152" s="332"/>
      <c r="B152" s="16" t="s">
        <v>554</v>
      </c>
      <c r="C152" s="508"/>
      <c r="D152" s="53"/>
      <c r="E152" s="11"/>
      <c r="F152" s="11"/>
      <c r="G152" s="106"/>
      <c r="H152" s="53"/>
      <c r="I152" s="11"/>
      <c r="J152" s="11"/>
      <c r="K152" s="106"/>
      <c r="L152" s="27"/>
    </row>
    <row r="153" spans="1:13" outlineLevel="1" x14ac:dyDescent="0.25">
      <c r="A153" s="332"/>
      <c r="B153" s="16" t="s">
        <v>67</v>
      </c>
      <c r="C153" s="508"/>
      <c r="D153" s="53"/>
      <c r="E153" s="11"/>
      <c r="F153" s="11"/>
      <c r="G153" s="106"/>
      <c r="H153" s="53"/>
      <c r="I153" s="11"/>
      <c r="J153" s="11"/>
      <c r="K153" s="106"/>
      <c r="L153" s="27"/>
    </row>
    <row r="154" spans="1:13" s="566" customFormat="1" ht="29.25" customHeight="1" x14ac:dyDescent="0.2">
      <c r="A154" s="286">
        <v>42</v>
      </c>
      <c r="B154" s="525" t="s">
        <v>438</v>
      </c>
      <c r="C154" s="287">
        <f>SUM(C155:C156)</f>
        <v>10719367.689999999</v>
      </c>
      <c r="D154" s="393">
        <f t="shared" ref="D154:D162" si="95">E154+F154+G154</f>
        <v>10719367.689999999</v>
      </c>
      <c r="E154" s="401">
        <f>SUM(E155:E156)</f>
        <v>7885166.8760719998</v>
      </c>
      <c r="F154" s="401">
        <f>SUM(F155:F156)</f>
        <v>535968.38099999994</v>
      </c>
      <c r="G154" s="401">
        <f>SUM(G155:G156)</f>
        <v>2298232.4329279992</v>
      </c>
      <c r="H154" s="288">
        <f>SUM(I154:K154)</f>
        <v>10719367.689999999</v>
      </c>
      <c r="I154" s="289">
        <f>SUM(I155:I156)</f>
        <v>7885166.8799999999</v>
      </c>
      <c r="J154" s="289">
        <f t="shared" ref="J154:K154" si="96">SUM(J155:J156)</f>
        <v>535968.39</v>
      </c>
      <c r="K154" s="289">
        <f t="shared" si="96"/>
        <v>2298232.42</v>
      </c>
      <c r="L154" s="565"/>
      <c r="M154" s="651"/>
    </row>
    <row r="155" spans="1:13" s="364" customFormat="1" outlineLevel="1" x14ac:dyDescent="0.25">
      <c r="A155" s="246"/>
      <c r="B155" s="248" t="s">
        <v>555</v>
      </c>
      <c r="C155" s="245">
        <v>10614700.619999999</v>
      </c>
      <c r="D155" s="300">
        <f t="shared" si="95"/>
        <v>10614700.619999999</v>
      </c>
      <c r="E155" s="301">
        <f>C155*0.7356</f>
        <v>7808173.7760720002</v>
      </c>
      <c r="F155" s="301">
        <f>C155*0.05</f>
        <v>530735.03099999996</v>
      </c>
      <c r="G155" s="248">
        <f>C155-E155-F155</f>
        <v>2275791.8129279991</v>
      </c>
      <c r="H155" s="316">
        <f>I155+J155+K155</f>
        <v>10614700.620000001</v>
      </c>
      <c r="I155" s="257">
        <v>7808173.7800000003</v>
      </c>
      <c r="J155" s="257">
        <v>530735.04</v>
      </c>
      <c r="K155" s="269">
        <v>2275791.7999999998</v>
      </c>
      <c r="L155" s="270" t="s">
        <v>689</v>
      </c>
      <c r="M155" s="597"/>
    </row>
    <row r="156" spans="1:13" s="364" customFormat="1" outlineLevel="1" x14ac:dyDescent="0.25">
      <c r="A156" s="246"/>
      <c r="B156" s="248" t="s">
        <v>67</v>
      </c>
      <c r="C156" s="245">
        <v>104667.07</v>
      </c>
      <c r="D156" s="300">
        <f t="shared" si="95"/>
        <v>104667.07</v>
      </c>
      <c r="E156" s="301">
        <v>76993.100000000006</v>
      </c>
      <c r="F156" s="301">
        <v>5233.3500000000004</v>
      </c>
      <c r="G156" s="248">
        <v>22440.62</v>
      </c>
      <c r="H156" s="316">
        <f>SUM(I156:K156)</f>
        <v>104667.07</v>
      </c>
      <c r="I156" s="257">
        <v>76993.100000000006</v>
      </c>
      <c r="J156" s="257">
        <v>5233.3500000000004</v>
      </c>
      <c r="K156" s="269">
        <v>22440.62</v>
      </c>
      <c r="L156" s="270" t="s">
        <v>825</v>
      </c>
      <c r="M156" s="597">
        <v>42495</v>
      </c>
    </row>
    <row r="157" spans="1:13" s="566" customFormat="1" ht="30" customHeight="1" x14ac:dyDescent="0.2">
      <c r="A157" s="286">
        <v>43</v>
      </c>
      <c r="B157" s="525" t="s">
        <v>439</v>
      </c>
      <c r="C157" s="287">
        <f>SUM(C158:C159)</f>
        <v>10816167.060000001</v>
      </c>
      <c r="D157" s="393">
        <f t="shared" si="95"/>
        <v>10816167.060000001</v>
      </c>
      <c r="E157" s="401">
        <f>SUM(E158:E159)</f>
        <v>7956372.4825999998</v>
      </c>
      <c r="F157" s="401">
        <f>SUM(F158:F159)</f>
        <v>540808.3550000001</v>
      </c>
      <c r="G157" s="401">
        <f>SUM(G158:G159)</f>
        <v>2318986.2224000003</v>
      </c>
      <c r="H157" s="288">
        <f>SUM(I157:K157)</f>
        <v>10816167.060000001</v>
      </c>
      <c r="I157" s="289">
        <f>SUM(I158:I159)</f>
        <v>7956372.4799999995</v>
      </c>
      <c r="J157" s="289">
        <f t="shared" ref="J157" si="97">SUM(J158:J159)</f>
        <v>540808.3600000001</v>
      </c>
      <c r="K157" s="289">
        <f t="shared" ref="K157" si="98">SUM(K158:K159)</f>
        <v>2318986.2200000002</v>
      </c>
      <c r="L157" s="565"/>
      <c r="M157" s="651"/>
    </row>
    <row r="158" spans="1:13" s="364" customFormat="1" outlineLevel="1" x14ac:dyDescent="0.25">
      <c r="A158" s="246"/>
      <c r="B158" s="248" t="s">
        <v>555</v>
      </c>
      <c r="C158" s="245">
        <v>10705933.5</v>
      </c>
      <c r="D158" s="300">
        <f t="shared" si="95"/>
        <v>10705933.5</v>
      </c>
      <c r="E158" s="301">
        <f>C158*0.7356</f>
        <v>7875284.6825999999</v>
      </c>
      <c r="F158" s="301">
        <f>C158*0.05</f>
        <v>535296.67500000005</v>
      </c>
      <c r="G158" s="248">
        <f>C158-E158-F158</f>
        <v>2295352.1424000002</v>
      </c>
      <c r="H158" s="316">
        <f>I158+J158+K158</f>
        <v>10705933.5</v>
      </c>
      <c r="I158" s="257">
        <v>7875284.6799999997</v>
      </c>
      <c r="J158" s="257">
        <v>535296.68000000005</v>
      </c>
      <c r="K158" s="269">
        <v>2295352.14</v>
      </c>
      <c r="L158" s="270" t="s">
        <v>688</v>
      </c>
      <c r="M158" s="597"/>
    </row>
    <row r="159" spans="1:13" s="364" customFormat="1" outlineLevel="1" x14ac:dyDescent="0.25">
      <c r="A159" s="246"/>
      <c r="B159" s="248" t="s">
        <v>67</v>
      </c>
      <c r="C159" s="245">
        <v>110233.56</v>
      </c>
      <c r="D159" s="300">
        <f t="shared" si="95"/>
        <v>110233.56000000001</v>
      </c>
      <c r="E159" s="301">
        <v>81087.8</v>
      </c>
      <c r="F159" s="301">
        <v>5511.68</v>
      </c>
      <c r="G159" s="248">
        <v>23634.080000000002</v>
      </c>
      <c r="H159" s="316">
        <f>SUM(I159:K159)</f>
        <v>110233.56000000001</v>
      </c>
      <c r="I159" s="257">
        <v>81087.8</v>
      </c>
      <c r="J159" s="257">
        <v>5511.68</v>
      </c>
      <c r="K159" s="269">
        <v>23634.080000000002</v>
      </c>
      <c r="L159" s="270" t="s">
        <v>825</v>
      </c>
      <c r="M159" s="597">
        <v>42495</v>
      </c>
    </row>
    <row r="160" spans="1:13" s="566" customFormat="1" ht="34.5" customHeight="1" x14ac:dyDescent="0.2">
      <c r="A160" s="286">
        <v>44</v>
      </c>
      <c r="B160" s="525" t="s">
        <v>440</v>
      </c>
      <c r="C160" s="287">
        <f>SUM(C161:C162)</f>
        <v>11147305.41</v>
      </c>
      <c r="D160" s="393">
        <f t="shared" si="95"/>
        <v>11147305.41</v>
      </c>
      <c r="E160" s="401">
        <f>SUM(E161:E162)</f>
        <v>8199957.853480001</v>
      </c>
      <c r="F160" s="401">
        <f>SUM(F161:F162)</f>
        <v>557365.27500000002</v>
      </c>
      <c r="G160" s="401">
        <f>SUM(G161:G162)</f>
        <v>2389982.2815199997</v>
      </c>
      <c r="H160" s="393">
        <f>I160+J160+K160</f>
        <v>11147305.41</v>
      </c>
      <c r="I160" s="401">
        <f>SUM(I161:I162)</f>
        <v>8199957.8500000006</v>
      </c>
      <c r="J160" s="401">
        <f>SUM(J161:J162)</f>
        <v>557365.28</v>
      </c>
      <c r="K160" s="401">
        <f>SUM(K161:K162)</f>
        <v>2389982.2799999998</v>
      </c>
      <c r="L160" s="565"/>
      <c r="M160" s="651"/>
    </row>
    <row r="161" spans="1:13" s="364" customFormat="1" outlineLevel="1" x14ac:dyDescent="0.25">
      <c r="A161" s="246"/>
      <c r="B161" s="248" t="s">
        <v>555</v>
      </c>
      <c r="C161" s="509">
        <v>11036463.300000001</v>
      </c>
      <c r="D161" s="316">
        <f t="shared" si="95"/>
        <v>11036463.300000001</v>
      </c>
      <c r="E161" s="257">
        <f>C161*0.7356</f>
        <v>8118422.4034800008</v>
      </c>
      <c r="F161" s="257">
        <f>C161*0.05</f>
        <v>551823.16500000004</v>
      </c>
      <c r="G161" s="269">
        <f>C161-E161-F161</f>
        <v>2366217.7315199999</v>
      </c>
      <c r="H161" s="316">
        <f>I161+J161+K161</f>
        <v>11036463.300000001</v>
      </c>
      <c r="I161" s="257">
        <v>8118422.4000000004</v>
      </c>
      <c r="J161" s="257">
        <v>551823.17000000004</v>
      </c>
      <c r="K161" s="269">
        <v>2366217.73</v>
      </c>
      <c r="L161" s="270" t="s">
        <v>698</v>
      </c>
      <c r="M161" s="597"/>
    </row>
    <row r="162" spans="1:13" s="364" customFormat="1" outlineLevel="1" x14ac:dyDescent="0.25">
      <c r="A162" s="246"/>
      <c r="B162" s="248" t="s">
        <v>67</v>
      </c>
      <c r="C162" s="509">
        <v>110842.11</v>
      </c>
      <c r="D162" s="316">
        <f t="shared" si="95"/>
        <v>110842.11</v>
      </c>
      <c r="E162" s="257">
        <v>81535.45</v>
      </c>
      <c r="F162" s="257">
        <v>5542.11</v>
      </c>
      <c r="G162" s="269">
        <v>23764.55</v>
      </c>
      <c r="H162" s="316">
        <f>SUM(I162:K162)</f>
        <v>110842.11</v>
      </c>
      <c r="I162" s="257">
        <v>81535.45</v>
      </c>
      <c r="J162" s="257">
        <v>5542.11</v>
      </c>
      <c r="K162" s="269">
        <v>23764.55</v>
      </c>
      <c r="L162" s="270" t="s">
        <v>825</v>
      </c>
      <c r="M162" s="597">
        <v>42495</v>
      </c>
    </row>
    <row r="163" spans="1:13" s="68" customFormat="1" ht="27.75" customHeight="1" x14ac:dyDescent="0.2">
      <c r="A163" s="330">
        <v>45</v>
      </c>
      <c r="B163" s="333" t="s">
        <v>441</v>
      </c>
      <c r="C163" s="532">
        <f>C164+C165+C166</f>
        <v>110842.11</v>
      </c>
      <c r="D163" s="228">
        <f>E163+F163+G163</f>
        <v>110842.11</v>
      </c>
      <c r="E163" s="532">
        <f t="shared" ref="E163" si="99">E164+E165+E166</f>
        <v>75048.97</v>
      </c>
      <c r="F163" s="532">
        <f t="shared" ref="F163" si="100">F164+F165+F166</f>
        <v>5542.11</v>
      </c>
      <c r="G163" s="532">
        <f t="shared" ref="G163" si="101">G164+G165+G166</f>
        <v>30251.03</v>
      </c>
      <c r="H163" s="228">
        <f>I163+J163+K163</f>
        <v>110842.11</v>
      </c>
      <c r="I163" s="532">
        <f t="shared" ref="I163" si="102">I164+I165+I166</f>
        <v>75048.97</v>
      </c>
      <c r="J163" s="532">
        <f t="shared" ref="J163" si="103">J164+J165+J166</f>
        <v>5542.11</v>
      </c>
      <c r="K163" s="532">
        <f t="shared" ref="K163" si="104">K164+K165+K166</f>
        <v>30251.03</v>
      </c>
      <c r="L163" s="321"/>
      <c r="M163" s="652"/>
    </row>
    <row r="164" spans="1:13" outlineLevel="1" x14ac:dyDescent="0.25">
      <c r="A164" s="332"/>
      <c r="B164" s="16" t="s">
        <v>555</v>
      </c>
      <c r="C164" s="508"/>
      <c r="D164" s="53"/>
      <c r="E164" s="11"/>
      <c r="F164" s="11"/>
      <c r="G164" s="106"/>
      <c r="H164" s="53"/>
      <c r="I164" s="11"/>
      <c r="J164" s="11"/>
      <c r="K164" s="106"/>
      <c r="L164" s="27"/>
    </row>
    <row r="165" spans="1:13" outlineLevel="1" x14ac:dyDescent="0.25">
      <c r="A165" s="332"/>
      <c r="B165" s="16" t="s">
        <v>554</v>
      </c>
      <c r="C165" s="508"/>
      <c r="D165" s="53"/>
      <c r="E165" s="11"/>
      <c r="F165" s="11"/>
      <c r="G165" s="106"/>
      <c r="H165" s="53"/>
      <c r="I165" s="11"/>
      <c r="J165" s="11"/>
      <c r="K165" s="106"/>
      <c r="L165" s="27"/>
    </row>
    <row r="166" spans="1:13" s="364" customFormat="1" outlineLevel="1" x14ac:dyDescent="0.25">
      <c r="A166" s="246"/>
      <c r="B166" s="248" t="s">
        <v>67</v>
      </c>
      <c r="C166" s="509">
        <v>110842.11</v>
      </c>
      <c r="D166" s="316">
        <f>SUM(E166:G166)</f>
        <v>110842.11</v>
      </c>
      <c r="E166" s="257">
        <v>75048.97</v>
      </c>
      <c r="F166" s="257">
        <v>5542.11</v>
      </c>
      <c r="G166" s="269">
        <v>30251.03</v>
      </c>
      <c r="H166" s="316">
        <f>SUM(I166:K166)</f>
        <v>110842.11</v>
      </c>
      <c r="I166" s="257">
        <v>75048.97</v>
      </c>
      <c r="J166" s="257">
        <v>5542.11</v>
      </c>
      <c r="K166" s="269">
        <v>30251.03</v>
      </c>
      <c r="L166" s="270" t="s">
        <v>825</v>
      </c>
      <c r="M166" s="597">
        <v>42495</v>
      </c>
    </row>
    <row r="167" spans="1:13" s="68" customFormat="1" ht="29.25" customHeight="1" x14ac:dyDescent="0.2">
      <c r="A167" s="330">
        <v>46</v>
      </c>
      <c r="B167" s="333" t="s">
        <v>442</v>
      </c>
      <c r="C167" s="532">
        <f>C168+C169+C170</f>
        <v>94635.61</v>
      </c>
      <c r="D167" s="228">
        <f>E167+F167+G167</f>
        <v>94635.61</v>
      </c>
      <c r="E167" s="532">
        <f t="shared" ref="E167" si="105">E168+E169+E170</f>
        <v>64075.88</v>
      </c>
      <c r="F167" s="532">
        <f t="shared" ref="F167" si="106">F168+F169+F170</f>
        <v>4731.78</v>
      </c>
      <c r="G167" s="532">
        <f t="shared" ref="G167" si="107">G168+G169+G170</f>
        <v>25827.95</v>
      </c>
      <c r="H167" s="228">
        <f>I167+J167+K167</f>
        <v>94635.61</v>
      </c>
      <c r="I167" s="532">
        <f t="shared" ref="I167" si="108">I168+I169+I170</f>
        <v>64075.88</v>
      </c>
      <c r="J167" s="532">
        <f t="shared" ref="J167" si="109">J168+J169+J170</f>
        <v>4731.78</v>
      </c>
      <c r="K167" s="532">
        <f t="shared" ref="K167" si="110">K168+K169+K170</f>
        <v>25827.95</v>
      </c>
      <c r="L167" s="321"/>
      <c r="M167" s="652"/>
    </row>
    <row r="168" spans="1:13" outlineLevel="1" x14ac:dyDescent="0.25">
      <c r="A168" s="332"/>
      <c r="B168" s="16" t="s">
        <v>555</v>
      </c>
      <c r="C168" s="508"/>
      <c r="D168" s="53"/>
      <c r="E168" s="11"/>
      <c r="F168" s="11"/>
      <c r="G168" s="106"/>
      <c r="H168" s="53"/>
      <c r="I168" s="11"/>
      <c r="J168" s="11"/>
      <c r="K168" s="106"/>
      <c r="L168" s="27"/>
    </row>
    <row r="169" spans="1:13" outlineLevel="1" x14ac:dyDescent="0.25">
      <c r="A169" s="332"/>
      <c r="B169" s="16" t="s">
        <v>554</v>
      </c>
      <c r="C169" s="508"/>
      <c r="D169" s="53"/>
      <c r="E169" s="11"/>
      <c r="F169" s="11"/>
      <c r="G169" s="106"/>
      <c r="H169" s="53"/>
      <c r="I169" s="11"/>
      <c r="J169" s="11"/>
      <c r="K169" s="106"/>
      <c r="L169" s="27"/>
    </row>
    <row r="170" spans="1:13" s="364" customFormat="1" outlineLevel="1" x14ac:dyDescent="0.25">
      <c r="A170" s="246"/>
      <c r="B170" s="248" t="s">
        <v>67</v>
      </c>
      <c r="C170" s="509">
        <v>94635.61</v>
      </c>
      <c r="D170" s="316">
        <f>SUM(E170:G170)</f>
        <v>94635.61</v>
      </c>
      <c r="E170" s="257">
        <v>64075.88</v>
      </c>
      <c r="F170" s="257">
        <v>4731.78</v>
      </c>
      <c r="G170" s="269">
        <v>25827.95</v>
      </c>
      <c r="H170" s="316">
        <f>SUM(I170:K170)</f>
        <v>94635.61</v>
      </c>
      <c r="I170" s="257">
        <v>64075.88</v>
      </c>
      <c r="J170" s="257">
        <v>4731.78</v>
      </c>
      <c r="K170" s="269">
        <v>25827.95</v>
      </c>
      <c r="L170" s="270" t="s">
        <v>825</v>
      </c>
      <c r="M170" s="597">
        <v>42495</v>
      </c>
    </row>
    <row r="171" spans="1:13" s="68" customFormat="1" ht="30.75" customHeight="1" x14ac:dyDescent="0.2">
      <c r="A171" s="330">
        <v>47</v>
      </c>
      <c r="B171" s="333" t="s">
        <v>443</v>
      </c>
      <c r="C171" s="532">
        <f>C172</f>
        <v>0</v>
      </c>
      <c r="D171" s="228">
        <f>E171+F171+G171</f>
        <v>0</v>
      </c>
      <c r="E171" s="532">
        <f t="shared" ref="E171:G171" si="111">E172</f>
        <v>0</v>
      </c>
      <c r="F171" s="532">
        <f t="shared" si="111"/>
        <v>0</v>
      </c>
      <c r="G171" s="532">
        <f t="shared" si="111"/>
        <v>0</v>
      </c>
      <c r="H171" s="228">
        <f>I171+J171+K171</f>
        <v>0</v>
      </c>
      <c r="I171" s="532">
        <f t="shared" ref="I171:K171" si="112">I172</f>
        <v>0</v>
      </c>
      <c r="J171" s="532">
        <f t="shared" si="112"/>
        <v>0</v>
      </c>
      <c r="K171" s="532">
        <f t="shared" si="112"/>
        <v>0</v>
      </c>
      <c r="L171" s="321"/>
      <c r="M171" s="652"/>
    </row>
    <row r="172" spans="1:13" outlineLevel="1" x14ac:dyDescent="0.25">
      <c r="A172" s="332"/>
      <c r="B172" s="16" t="s">
        <v>67</v>
      </c>
      <c r="C172" s="508"/>
      <c r="D172" s="53"/>
      <c r="E172" s="11"/>
      <c r="F172" s="11"/>
      <c r="G172" s="106"/>
      <c r="H172" s="53"/>
      <c r="I172" s="11"/>
      <c r="J172" s="11"/>
      <c r="K172" s="106"/>
      <c r="L172" s="27"/>
    </row>
    <row r="173" spans="1:13" s="68" customFormat="1" ht="32.25" customHeight="1" x14ac:dyDescent="0.2">
      <c r="A173" s="330">
        <v>48</v>
      </c>
      <c r="B173" s="333" t="s">
        <v>444</v>
      </c>
      <c r="C173" s="532">
        <f>C174+C175+C176</f>
        <v>144044.04999999999</v>
      </c>
      <c r="D173" s="228">
        <f>E173+F173+G173</f>
        <v>144044.04999999999</v>
      </c>
      <c r="E173" s="532">
        <f t="shared" ref="E173" si="113">E174+E175+E176</f>
        <v>97529.35</v>
      </c>
      <c r="F173" s="532">
        <f t="shared" ref="F173" si="114">F174+F175+F176</f>
        <v>7202.2</v>
      </c>
      <c r="G173" s="532">
        <f t="shared" ref="G173" si="115">G174+G175+G176</f>
        <v>39312.5</v>
      </c>
      <c r="H173" s="228">
        <f>I173+J173+K173</f>
        <v>144044.04999999999</v>
      </c>
      <c r="I173" s="532">
        <f t="shared" ref="I173" si="116">I174+I175+I176</f>
        <v>97529.35</v>
      </c>
      <c r="J173" s="532">
        <f t="shared" ref="J173" si="117">J174+J175+J176</f>
        <v>7202.2</v>
      </c>
      <c r="K173" s="532">
        <f t="shared" ref="K173" si="118">K174+K175+K176</f>
        <v>39312.5</v>
      </c>
      <c r="L173" s="321"/>
      <c r="M173" s="652"/>
    </row>
    <row r="174" spans="1:13" outlineLevel="1" x14ac:dyDescent="0.25">
      <c r="A174" s="332"/>
      <c r="B174" s="16" t="s">
        <v>555</v>
      </c>
      <c r="C174" s="508"/>
      <c r="D174" s="53"/>
      <c r="E174" s="11"/>
      <c r="F174" s="11"/>
      <c r="G174" s="106"/>
      <c r="H174" s="53"/>
      <c r="I174" s="11"/>
      <c r="J174" s="11"/>
      <c r="K174" s="106"/>
      <c r="L174" s="27"/>
    </row>
    <row r="175" spans="1:13" outlineLevel="1" x14ac:dyDescent="0.25">
      <c r="A175" s="332"/>
      <c r="B175" s="16" t="s">
        <v>554</v>
      </c>
      <c r="C175" s="508"/>
      <c r="D175" s="53"/>
      <c r="E175" s="11"/>
      <c r="F175" s="11"/>
      <c r="G175" s="106"/>
      <c r="H175" s="53"/>
      <c r="I175" s="11"/>
      <c r="J175" s="11"/>
      <c r="K175" s="106"/>
      <c r="L175" s="27"/>
    </row>
    <row r="176" spans="1:13" s="364" customFormat="1" outlineLevel="1" x14ac:dyDescent="0.25">
      <c r="A176" s="246"/>
      <c r="B176" s="248" t="s">
        <v>67</v>
      </c>
      <c r="C176" s="509">
        <v>144044.04999999999</v>
      </c>
      <c r="D176" s="316">
        <f>SUM(E176:G176)</f>
        <v>144044.04999999999</v>
      </c>
      <c r="E176" s="257">
        <v>97529.35</v>
      </c>
      <c r="F176" s="257">
        <v>7202.2</v>
      </c>
      <c r="G176" s="269">
        <v>39312.5</v>
      </c>
      <c r="H176" s="316">
        <f>SUM(I176:K176)</f>
        <v>144044.04999999999</v>
      </c>
      <c r="I176" s="257">
        <v>97529.35</v>
      </c>
      <c r="J176" s="257">
        <v>7202.2</v>
      </c>
      <c r="K176" s="269">
        <v>39312.5</v>
      </c>
      <c r="L176" s="270" t="s">
        <v>825</v>
      </c>
      <c r="M176" s="597">
        <v>42495</v>
      </c>
    </row>
    <row r="177" spans="1:13" s="68" customFormat="1" ht="27.75" customHeight="1" x14ac:dyDescent="0.2">
      <c r="A177" s="330">
        <v>49</v>
      </c>
      <c r="B177" s="333" t="s">
        <v>445</v>
      </c>
      <c r="C177" s="532">
        <f>C178+C179+C180</f>
        <v>129372.07</v>
      </c>
      <c r="D177" s="228">
        <f>E177+F177+G177</f>
        <v>129372.07</v>
      </c>
      <c r="E177" s="532">
        <f t="shared" ref="E177" si="119">E178+E179+E180</f>
        <v>87595.24</v>
      </c>
      <c r="F177" s="532">
        <f t="shared" ref="F177" si="120">F178+F179+F180</f>
        <v>6468.6</v>
      </c>
      <c r="G177" s="532">
        <f t="shared" ref="G177" si="121">G178+G179+G180</f>
        <v>35308.230000000003</v>
      </c>
      <c r="H177" s="228">
        <f>I177+J177+K177</f>
        <v>129372.07</v>
      </c>
      <c r="I177" s="532">
        <f t="shared" ref="I177" si="122">I178+I179+I180</f>
        <v>87595.24</v>
      </c>
      <c r="J177" s="532">
        <f t="shared" ref="J177" si="123">J178+J179+J180</f>
        <v>6468.6</v>
      </c>
      <c r="K177" s="532">
        <f t="shared" ref="K177" si="124">K178+K179+K180</f>
        <v>35308.230000000003</v>
      </c>
      <c r="L177" s="321"/>
      <c r="M177" s="652"/>
    </row>
    <row r="178" spans="1:13" ht="23.25" customHeight="1" outlineLevel="1" x14ac:dyDescent="0.25">
      <c r="A178" s="332"/>
      <c r="B178" s="16" t="s">
        <v>555</v>
      </c>
      <c r="C178" s="508"/>
      <c r="D178" s="53"/>
      <c r="E178" s="11"/>
      <c r="F178" s="11"/>
      <c r="G178" s="106"/>
      <c r="H178" s="53"/>
      <c r="I178" s="11"/>
      <c r="J178" s="11"/>
      <c r="K178" s="106"/>
      <c r="L178" s="27"/>
    </row>
    <row r="179" spans="1:13" ht="13.5" customHeight="1" outlineLevel="1" x14ac:dyDescent="0.25">
      <c r="A179" s="332"/>
      <c r="B179" s="16" t="s">
        <v>554</v>
      </c>
      <c r="C179" s="508"/>
      <c r="D179" s="53"/>
      <c r="E179" s="11"/>
      <c r="F179" s="11"/>
      <c r="G179" s="106"/>
      <c r="H179" s="53"/>
      <c r="I179" s="11"/>
      <c r="J179" s="11"/>
      <c r="K179" s="106"/>
      <c r="L179" s="27"/>
    </row>
    <row r="180" spans="1:13" s="364" customFormat="1" ht="17.25" customHeight="1" outlineLevel="1" x14ac:dyDescent="0.25">
      <c r="A180" s="246"/>
      <c r="B180" s="248" t="s">
        <v>67</v>
      </c>
      <c r="C180" s="509">
        <v>129372.07</v>
      </c>
      <c r="D180" s="316">
        <f>SUM(E180:G180)</f>
        <v>129372.07</v>
      </c>
      <c r="E180" s="257">
        <v>87595.24</v>
      </c>
      <c r="F180" s="257">
        <v>6468.6</v>
      </c>
      <c r="G180" s="269">
        <v>35308.230000000003</v>
      </c>
      <c r="H180" s="316">
        <f>SUM(I180:K180)</f>
        <v>129372.07</v>
      </c>
      <c r="I180" s="257">
        <v>87595.24</v>
      </c>
      <c r="J180" s="257">
        <v>6468.6</v>
      </c>
      <c r="K180" s="269">
        <v>35308.230000000003</v>
      </c>
      <c r="L180" s="270" t="s">
        <v>825</v>
      </c>
      <c r="M180" s="597">
        <v>42495</v>
      </c>
    </row>
    <row r="181" spans="1:13" s="68" customFormat="1" ht="29.25" customHeight="1" x14ac:dyDescent="0.2">
      <c r="A181" s="330">
        <v>50</v>
      </c>
      <c r="B181" s="333" t="s">
        <v>446</v>
      </c>
      <c r="C181" s="532">
        <f>C182+C183+C184</f>
        <v>103496.18</v>
      </c>
      <c r="D181" s="228">
        <f>E181+F181+G181</f>
        <v>103496.18</v>
      </c>
      <c r="E181" s="532">
        <f t="shared" ref="E181" si="125">E182+E183+E184</f>
        <v>70075.19</v>
      </c>
      <c r="F181" s="532">
        <f t="shared" ref="F181" si="126">F182+F183+F184</f>
        <v>5174.8100000000004</v>
      </c>
      <c r="G181" s="532">
        <f t="shared" ref="G181" si="127">G182+G183+G184</f>
        <v>28246.18</v>
      </c>
      <c r="H181" s="228">
        <f>I181+J181+K181</f>
        <v>103496.18</v>
      </c>
      <c r="I181" s="532">
        <f t="shared" ref="I181" si="128">I182+I183+I184</f>
        <v>70075.19</v>
      </c>
      <c r="J181" s="532">
        <f t="shared" ref="J181" si="129">J182+J183+J184</f>
        <v>5174.8100000000004</v>
      </c>
      <c r="K181" s="532">
        <f t="shared" ref="K181" si="130">K182+K183+K184</f>
        <v>28246.18</v>
      </c>
      <c r="L181" s="321"/>
      <c r="M181" s="652"/>
    </row>
    <row r="182" spans="1:13" outlineLevel="1" x14ac:dyDescent="0.25">
      <c r="A182" s="332"/>
      <c r="B182" s="16" t="s">
        <v>555</v>
      </c>
      <c r="C182" s="508"/>
      <c r="D182" s="53"/>
      <c r="E182" s="11"/>
      <c r="F182" s="11"/>
      <c r="G182" s="106"/>
      <c r="H182" s="53"/>
      <c r="I182" s="11"/>
      <c r="J182" s="11"/>
      <c r="K182" s="106"/>
      <c r="L182" s="27"/>
    </row>
    <row r="183" spans="1:13" outlineLevel="1" x14ac:dyDescent="0.25">
      <c r="A183" s="332"/>
      <c r="B183" s="16" t="s">
        <v>554</v>
      </c>
      <c r="C183" s="508"/>
      <c r="D183" s="53"/>
      <c r="E183" s="11"/>
      <c r="F183" s="11"/>
      <c r="G183" s="106"/>
      <c r="H183" s="53"/>
      <c r="I183" s="11"/>
      <c r="J183" s="11"/>
      <c r="K183" s="106"/>
      <c r="L183" s="27"/>
    </row>
    <row r="184" spans="1:13" s="364" customFormat="1" outlineLevel="1" x14ac:dyDescent="0.25">
      <c r="A184" s="246"/>
      <c r="B184" s="248" t="s">
        <v>67</v>
      </c>
      <c r="C184" s="509">
        <v>103496.18</v>
      </c>
      <c r="D184" s="316">
        <f>SUM(E184:G184)</f>
        <v>103496.18</v>
      </c>
      <c r="E184" s="257">
        <v>70075.19</v>
      </c>
      <c r="F184" s="257">
        <v>5174.8100000000004</v>
      </c>
      <c r="G184" s="269">
        <v>28246.18</v>
      </c>
      <c r="H184" s="316">
        <f>SUM(I184:K184)</f>
        <v>103496.18</v>
      </c>
      <c r="I184" s="257">
        <v>70075.19</v>
      </c>
      <c r="J184" s="257">
        <v>5174.8100000000004</v>
      </c>
      <c r="K184" s="269">
        <v>28246.18</v>
      </c>
      <c r="L184" s="270" t="s">
        <v>825</v>
      </c>
      <c r="M184" s="597">
        <v>42495</v>
      </c>
    </row>
    <row r="185" spans="1:13" s="68" customFormat="1" ht="30" customHeight="1" x14ac:dyDescent="0.2">
      <c r="A185" s="330">
        <v>51</v>
      </c>
      <c r="B185" s="333" t="s">
        <v>447</v>
      </c>
      <c r="C185" s="532">
        <f>C186+C187+C188</f>
        <v>0</v>
      </c>
      <c r="D185" s="228">
        <f>E185+F185+G185</f>
        <v>0</v>
      </c>
      <c r="E185" s="532">
        <f t="shared" ref="E185:G185" si="131">E186+E187+E188</f>
        <v>0</v>
      </c>
      <c r="F185" s="532">
        <f t="shared" si="131"/>
        <v>0</v>
      </c>
      <c r="G185" s="532">
        <f t="shared" si="131"/>
        <v>0</v>
      </c>
      <c r="H185" s="228">
        <f>I185+J185+K185</f>
        <v>0</v>
      </c>
      <c r="I185" s="532">
        <f t="shared" ref="I185:K185" si="132">I186+I187+I188</f>
        <v>0</v>
      </c>
      <c r="J185" s="532">
        <f t="shared" si="132"/>
        <v>0</v>
      </c>
      <c r="K185" s="532">
        <f t="shared" si="132"/>
        <v>0</v>
      </c>
      <c r="L185" s="321"/>
      <c r="M185" s="652"/>
    </row>
    <row r="186" spans="1:13" outlineLevel="1" x14ac:dyDescent="0.25">
      <c r="A186" s="332"/>
      <c r="B186" s="16" t="s">
        <v>555</v>
      </c>
      <c r="C186" s="508"/>
      <c r="D186" s="53"/>
      <c r="E186" s="11"/>
      <c r="F186" s="11"/>
      <c r="G186" s="106"/>
      <c r="H186" s="53"/>
      <c r="I186" s="11"/>
      <c r="J186" s="11"/>
      <c r="K186" s="106"/>
      <c r="L186" s="27"/>
    </row>
    <row r="187" spans="1:13" outlineLevel="1" x14ac:dyDescent="0.25">
      <c r="A187" s="332"/>
      <c r="B187" s="16" t="s">
        <v>554</v>
      </c>
      <c r="C187" s="508"/>
      <c r="D187" s="53"/>
      <c r="E187" s="11"/>
      <c r="F187" s="11"/>
      <c r="G187" s="106"/>
      <c r="H187" s="53"/>
      <c r="I187" s="11"/>
      <c r="J187" s="11"/>
      <c r="K187" s="106"/>
      <c r="L187" s="27"/>
    </row>
    <row r="188" spans="1:13" outlineLevel="1" x14ac:dyDescent="0.25">
      <c r="A188" s="332"/>
      <c r="B188" s="16" t="s">
        <v>67</v>
      </c>
      <c r="C188" s="508"/>
      <c r="D188" s="53"/>
      <c r="E188" s="11"/>
      <c r="F188" s="11"/>
      <c r="G188" s="106"/>
      <c r="H188" s="53"/>
      <c r="I188" s="11"/>
      <c r="J188" s="11"/>
      <c r="K188" s="106"/>
      <c r="L188" s="27"/>
    </row>
    <row r="189" spans="1:13" s="534" customFormat="1" ht="27.75" customHeight="1" x14ac:dyDescent="0.2">
      <c r="A189" s="88">
        <v>52</v>
      </c>
      <c r="B189" s="582" t="s">
        <v>448</v>
      </c>
      <c r="C189" s="84">
        <f>C190+C191</f>
        <v>7110947.8600000003</v>
      </c>
      <c r="D189" s="562">
        <f>E189+F189+G189</f>
        <v>7110947.8600000003</v>
      </c>
      <c r="E189" s="201">
        <f t="shared" ref="E189" si="133">E190+E191</f>
        <v>5230813.2458160007</v>
      </c>
      <c r="F189" s="201">
        <f t="shared" ref="F189" si="134">F190+F191</f>
        <v>355547.39300000004</v>
      </c>
      <c r="G189" s="622">
        <f t="shared" ref="G189" si="135">G190+G191</f>
        <v>1524587.2211839994</v>
      </c>
      <c r="H189" s="84">
        <f>H190+H191</f>
        <v>7110947.8599999994</v>
      </c>
      <c r="I189" s="201">
        <f>I190+I191</f>
        <v>5230813.25</v>
      </c>
      <c r="J189" s="201">
        <f t="shared" ref="J189:K189" si="136">J190+J191</f>
        <v>355547.39</v>
      </c>
      <c r="K189" s="201">
        <f t="shared" si="136"/>
        <v>1524587.22</v>
      </c>
      <c r="L189" s="533"/>
      <c r="M189" s="654"/>
    </row>
    <row r="190" spans="1:13" s="364" customFormat="1" outlineLevel="1" x14ac:dyDescent="0.25">
      <c r="A190" s="246"/>
      <c r="B190" s="248" t="s">
        <v>555</v>
      </c>
      <c r="C190" s="509">
        <v>7110947.8600000003</v>
      </c>
      <c r="D190" s="249">
        <f>E190+F190+G190</f>
        <v>7110947.8600000003</v>
      </c>
      <c r="E190" s="250">
        <f>C190*0.7356</f>
        <v>5230813.2458160007</v>
      </c>
      <c r="F190" s="250">
        <f>C190*0.05</f>
        <v>355547.39300000004</v>
      </c>
      <c r="G190" s="251">
        <f>C190-E190-F190</f>
        <v>1524587.2211839994</v>
      </c>
      <c r="H190" s="300">
        <f>I190+J190+K190</f>
        <v>7110947.8599999994</v>
      </c>
      <c r="I190" s="257">
        <v>5230813.25</v>
      </c>
      <c r="J190" s="257">
        <v>355547.39</v>
      </c>
      <c r="K190" s="269">
        <v>1524587.22</v>
      </c>
      <c r="L190" s="270" t="s">
        <v>725</v>
      </c>
      <c r="M190" s="597"/>
    </row>
    <row r="191" spans="1:13" outlineLevel="1" x14ac:dyDescent="0.25">
      <c r="A191" s="332"/>
      <c r="B191" s="283" t="s">
        <v>67</v>
      </c>
      <c r="C191" s="724"/>
      <c r="D191" s="583"/>
      <c r="E191" s="202"/>
      <c r="F191" s="202"/>
      <c r="G191" s="265"/>
      <c r="H191" s="53"/>
      <c r="I191" s="11"/>
      <c r="J191" s="11"/>
      <c r="K191" s="106"/>
      <c r="L191" s="27"/>
    </row>
    <row r="192" spans="1:13" s="534" customFormat="1" ht="36.75" customHeight="1" x14ac:dyDescent="0.2">
      <c r="A192" s="88">
        <v>53</v>
      </c>
      <c r="B192" s="582" t="s">
        <v>449</v>
      </c>
      <c r="C192" s="84">
        <f>C193+C194</f>
        <v>7099216.2999999998</v>
      </c>
      <c r="D192" s="562">
        <f>E192+F192+G192</f>
        <v>7099216.3000000007</v>
      </c>
      <c r="E192" s="201">
        <f t="shared" ref="E192:G192" si="137">E193+E194</f>
        <v>5222183.51028</v>
      </c>
      <c r="F192" s="201">
        <f t="shared" si="137"/>
        <v>354960.815</v>
      </c>
      <c r="G192" s="622">
        <f t="shared" si="137"/>
        <v>1522071.9747199998</v>
      </c>
      <c r="H192" s="84">
        <f>H193+H194</f>
        <v>7099216.2999999998</v>
      </c>
      <c r="I192" s="201">
        <f>I193+I194</f>
        <v>5222183.51</v>
      </c>
      <c r="J192" s="201">
        <f t="shared" ref="J192:K192" si="138">J193+J194</f>
        <v>354960.82</v>
      </c>
      <c r="K192" s="201">
        <f t="shared" si="138"/>
        <v>1522071.97</v>
      </c>
      <c r="L192" s="533"/>
      <c r="M192" s="654"/>
    </row>
    <row r="193" spans="1:13" s="364" customFormat="1" outlineLevel="1" x14ac:dyDescent="0.25">
      <c r="A193" s="246"/>
      <c r="B193" s="248" t="s">
        <v>555</v>
      </c>
      <c r="C193" s="252">
        <v>7099216.2999999998</v>
      </c>
      <c r="D193" s="249">
        <f>E193+F193+G193</f>
        <v>7099216.3000000007</v>
      </c>
      <c r="E193" s="250">
        <f>C193*0.7356</f>
        <v>5222183.51028</v>
      </c>
      <c r="F193" s="250">
        <f>C193*0.05</f>
        <v>354960.815</v>
      </c>
      <c r="G193" s="251">
        <f>C193-E193-F193</f>
        <v>1522071.9747199998</v>
      </c>
      <c r="H193" s="300">
        <f>I193+J193+K193</f>
        <v>7099216.2999999998</v>
      </c>
      <c r="I193" s="257">
        <v>5222183.51</v>
      </c>
      <c r="J193" s="257">
        <v>354960.82</v>
      </c>
      <c r="K193" s="269">
        <v>1522071.97</v>
      </c>
      <c r="L193" s="270" t="s">
        <v>724</v>
      </c>
      <c r="M193" s="597"/>
    </row>
    <row r="194" spans="1:13" outlineLevel="1" x14ac:dyDescent="0.25">
      <c r="A194" s="332"/>
      <c r="B194" s="283" t="s">
        <v>67</v>
      </c>
      <c r="C194" s="724"/>
      <c r="D194" s="583"/>
      <c r="E194" s="202"/>
      <c r="F194" s="202"/>
      <c r="G194" s="265"/>
      <c r="H194" s="53"/>
      <c r="I194" s="11"/>
      <c r="J194" s="11"/>
      <c r="K194" s="106"/>
      <c r="L194" s="27"/>
    </row>
    <row r="195" spans="1:13" s="68" customFormat="1" ht="36.75" customHeight="1" x14ac:dyDescent="0.2">
      <c r="A195" s="330">
        <v>54</v>
      </c>
      <c r="B195" s="333" t="s">
        <v>450</v>
      </c>
      <c r="C195" s="532">
        <f>C196+C197+C198</f>
        <v>0</v>
      </c>
      <c r="D195" s="228">
        <f>E195+F195+G195</f>
        <v>0</v>
      </c>
      <c r="E195" s="532">
        <f t="shared" ref="E195:G195" si="139">E196+E197+E198</f>
        <v>0</v>
      </c>
      <c r="F195" s="532">
        <f t="shared" si="139"/>
        <v>0</v>
      </c>
      <c r="G195" s="532">
        <f t="shared" si="139"/>
        <v>0</v>
      </c>
      <c r="H195" s="228">
        <f>I195+J195+K195</f>
        <v>0</v>
      </c>
      <c r="I195" s="532">
        <f t="shared" ref="I195:K195" si="140">I196+I197+I198</f>
        <v>0</v>
      </c>
      <c r="J195" s="532">
        <f t="shared" si="140"/>
        <v>0</v>
      </c>
      <c r="K195" s="532">
        <f t="shared" si="140"/>
        <v>0</v>
      </c>
      <c r="L195" s="321"/>
      <c r="M195" s="652"/>
    </row>
    <row r="196" spans="1:13" outlineLevel="1" x14ac:dyDescent="0.25">
      <c r="A196" s="332"/>
      <c r="B196" s="16" t="s">
        <v>555</v>
      </c>
      <c r="C196" s="508"/>
      <c r="D196" s="53"/>
      <c r="E196" s="11"/>
      <c r="F196" s="11"/>
      <c r="G196" s="106"/>
      <c r="H196" s="53"/>
      <c r="I196" s="11"/>
      <c r="J196" s="11"/>
      <c r="K196" s="106"/>
      <c r="L196" s="27"/>
    </row>
    <row r="197" spans="1:13" outlineLevel="1" x14ac:dyDescent="0.25">
      <c r="A197" s="332"/>
      <c r="B197" s="16" t="s">
        <v>554</v>
      </c>
      <c r="C197" s="508"/>
      <c r="D197" s="53"/>
      <c r="E197" s="11"/>
      <c r="F197" s="11"/>
      <c r="G197" s="106"/>
      <c r="H197" s="53"/>
      <c r="I197" s="11"/>
      <c r="J197" s="11"/>
      <c r="K197" s="106"/>
      <c r="L197" s="27"/>
    </row>
    <row r="198" spans="1:13" outlineLevel="1" x14ac:dyDescent="0.25">
      <c r="A198" s="332"/>
      <c r="B198" s="16" t="s">
        <v>67</v>
      </c>
      <c r="C198" s="508"/>
      <c r="D198" s="53"/>
      <c r="E198" s="11"/>
      <c r="F198" s="11"/>
      <c r="G198" s="106"/>
      <c r="H198" s="53"/>
      <c r="I198" s="11"/>
      <c r="J198" s="11"/>
      <c r="K198" s="106"/>
      <c r="L198" s="27"/>
    </row>
    <row r="199" spans="1:13" s="534" customFormat="1" ht="33" customHeight="1" x14ac:dyDescent="0.2">
      <c r="A199" s="88">
        <v>55</v>
      </c>
      <c r="B199" s="582" t="s">
        <v>451</v>
      </c>
      <c r="C199" s="623">
        <f t="shared" ref="C199:K199" si="141">C200+C201</f>
        <v>10293940.039999999</v>
      </c>
      <c r="D199" s="228">
        <f>D200+D201</f>
        <v>10293940.039999999</v>
      </c>
      <c r="E199" s="201">
        <f t="shared" si="141"/>
        <v>6969820.9222831996</v>
      </c>
      <c r="F199" s="201">
        <f t="shared" si="141"/>
        <v>514697.00199999998</v>
      </c>
      <c r="G199" s="229">
        <f t="shared" si="141"/>
        <v>2809422.1157167996</v>
      </c>
      <c r="H199" s="228">
        <f t="shared" si="141"/>
        <v>10293940.039999999</v>
      </c>
      <c r="I199" s="201">
        <f t="shared" si="141"/>
        <v>6969820.9199999999</v>
      </c>
      <c r="J199" s="201">
        <f t="shared" si="141"/>
        <v>514697</v>
      </c>
      <c r="K199" s="201">
        <f t="shared" si="141"/>
        <v>2809422.12</v>
      </c>
      <c r="L199" s="533"/>
      <c r="M199" s="654"/>
    </row>
    <row r="200" spans="1:13" s="364" customFormat="1" outlineLevel="1" x14ac:dyDescent="0.25">
      <c r="A200" s="246"/>
      <c r="B200" s="248" t="s">
        <v>555</v>
      </c>
      <c r="C200" s="509">
        <v>10293940.039999999</v>
      </c>
      <c r="D200" s="316">
        <f>E200+F200+G200</f>
        <v>10293940.039999999</v>
      </c>
      <c r="E200" s="257">
        <f>C200*0.67708</f>
        <v>6969820.9222831996</v>
      </c>
      <c r="F200" s="257">
        <f>C200*0.05</f>
        <v>514697.00199999998</v>
      </c>
      <c r="G200" s="269">
        <f>C200-E200-F200</f>
        <v>2809422.1157167996</v>
      </c>
      <c r="H200" s="316">
        <f>SUM(I200:K200)</f>
        <v>10293940.039999999</v>
      </c>
      <c r="I200" s="257">
        <v>6969820.9199999999</v>
      </c>
      <c r="J200" s="257">
        <v>514697</v>
      </c>
      <c r="K200" s="269">
        <v>2809422.12</v>
      </c>
      <c r="L200" s="270" t="s">
        <v>782</v>
      </c>
      <c r="M200" s="597" t="s">
        <v>783</v>
      </c>
    </row>
    <row r="201" spans="1:13" outlineLevel="1" x14ac:dyDescent="0.25">
      <c r="A201" s="332"/>
      <c r="B201" s="16" t="s">
        <v>67</v>
      </c>
      <c r="C201" s="508"/>
      <c r="D201" s="53"/>
      <c r="E201" s="11"/>
      <c r="F201" s="11"/>
      <c r="G201" s="106"/>
      <c r="H201" s="53"/>
      <c r="I201" s="11"/>
      <c r="J201" s="11"/>
      <c r="K201" s="106"/>
      <c r="L201" s="27"/>
    </row>
    <row r="202" spans="1:13" s="68" customFormat="1" ht="30.75" customHeight="1" x14ac:dyDescent="0.2">
      <c r="A202" s="330">
        <v>56</v>
      </c>
      <c r="B202" s="333" t="s">
        <v>452</v>
      </c>
      <c r="C202" s="623">
        <f t="shared" ref="C202:K202" si="142">C203+C204</f>
        <v>12528259.42</v>
      </c>
      <c r="D202" s="228">
        <f>D203+D204</f>
        <v>12528259.420000002</v>
      </c>
      <c r="E202" s="201">
        <f t="shared" si="142"/>
        <v>8482633.8880936</v>
      </c>
      <c r="F202" s="201">
        <f t="shared" si="142"/>
        <v>626412.97100000002</v>
      </c>
      <c r="G202" s="229">
        <f t="shared" si="142"/>
        <v>3419212.5609064</v>
      </c>
      <c r="H202" s="228">
        <f t="shared" si="142"/>
        <v>12528259.420000002</v>
      </c>
      <c r="I202" s="201">
        <f t="shared" si="142"/>
        <v>8482633.8900000006</v>
      </c>
      <c r="J202" s="201">
        <f t="shared" si="142"/>
        <v>626412.97</v>
      </c>
      <c r="K202" s="201">
        <f t="shared" si="142"/>
        <v>3419212.56</v>
      </c>
      <c r="L202" s="321"/>
      <c r="M202" s="652"/>
    </row>
    <row r="203" spans="1:13" s="364" customFormat="1" outlineLevel="1" x14ac:dyDescent="0.25">
      <c r="A203" s="246"/>
      <c r="B203" s="248" t="s">
        <v>555</v>
      </c>
      <c r="C203" s="509">
        <v>12528259.42</v>
      </c>
      <c r="D203" s="316">
        <f>E203+F203+G203</f>
        <v>12528259.420000002</v>
      </c>
      <c r="E203" s="257">
        <f>C203*0.67708</f>
        <v>8482633.8880936</v>
      </c>
      <c r="F203" s="257">
        <f>C203*5%</f>
        <v>626412.97100000002</v>
      </c>
      <c r="G203" s="269">
        <f>C203-E203-F203</f>
        <v>3419212.5609064</v>
      </c>
      <c r="H203" s="316">
        <f>I203+J203+K203</f>
        <v>12528259.420000002</v>
      </c>
      <c r="I203" s="257">
        <v>8482633.8900000006</v>
      </c>
      <c r="J203" s="257">
        <v>626412.97</v>
      </c>
      <c r="K203" s="269">
        <v>3419212.56</v>
      </c>
      <c r="L203" s="270" t="s">
        <v>794</v>
      </c>
      <c r="M203" s="597" t="s">
        <v>795</v>
      </c>
    </row>
    <row r="204" spans="1:13" outlineLevel="1" x14ac:dyDescent="0.25">
      <c r="A204" s="332"/>
      <c r="B204" s="16" t="s">
        <v>67</v>
      </c>
      <c r="C204" s="508"/>
      <c r="D204" s="53"/>
      <c r="E204" s="11"/>
      <c r="F204" s="11"/>
      <c r="G204" s="106"/>
      <c r="H204" s="53"/>
      <c r="I204" s="11"/>
      <c r="J204" s="11"/>
      <c r="K204" s="106"/>
      <c r="L204" s="27"/>
    </row>
    <row r="205" spans="1:13" s="68" customFormat="1" ht="33" customHeight="1" x14ac:dyDescent="0.2">
      <c r="A205" s="330">
        <v>57</v>
      </c>
      <c r="B205" s="333" t="s">
        <v>453</v>
      </c>
      <c r="C205" s="623">
        <f t="shared" ref="C205:K205" si="143">C206+C207</f>
        <v>6949988.7800000003</v>
      </c>
      <c r="D205" s="228">
        <f>D206+D207</f>
        <v>6949988.7800000003</v>
      </c>
      <c r="E205" s="201">
        <f t="shared" si="143"/>
        <v>4705698.4031624002</v>
      </c>
      <c r="F205" s="201">
        <f t="shared" si="143"/>
        <v>347499.43900000001</v>
      </c>
      <c r="G205" s="229">
        <f t="shared" si="143"/>
        <v>1896790.9378376</v>
      </c>
      <c r="H205" s="228">
        <f t="shared" si="143"/>
        <v>6949988.7800000012</v>
      </c>
      <c r="I205" s="201">
        <f t="shared" si="143"/>
        <v>4705698.4000000004</v>
      </c>
      <c r="J205" s="201">
        <f t="shared" si="143"/>
        <v>347499.44</v>
      </c>
      <c r="K205" s="201">
        <f t="shared" si="143"/>
        <v>1896790.94</v>
      </c>
      <c r="L205" s="321"/>
      <c r="M205" s="652"/>
    </row>
    <row r="206" spans="1:13" s="364" customFormat="1" outlineLevel="1" x14ac:dyDescent="0.25">
      <c r="A206" s="246"/>
      <c r="B206" s="248" t="s">
        <v>555</v>
      </c>
      <c r="C206" s="509">
        <v>6949988.7800000003</v>
      </c>
      <c r="D206" s="316">
        <f>E206+F206+G206</f>
        <v>6949988.7800000003</v>
      </c>
      <c r="E206" s="257">
        <f>C206*0.67708</f>
        <v>4705698.4031624002</v>
      </c>
      <c r="F206" s="257">
        <f>C206*5%</f>
        <v>347499.43900000001</v>
      </c>
      <c r="G206" s="269">
        <f>C206-E206-F206</f>
        <v>1896790.9378376</v>
      </c>
      <c r="H206" s="316">
        <f>I206+J206+K206</f>
        <v>6949988.7800000012</v>
      </c>
      <c r="I206" s="257">
        <v>4705698.4000000004</v>
      </c>
      <c r="J206" s="257">
        <v>347499.44</v>
      </c>
      <c r="K206" s="269">
        <v>1896790.94</v>
      </c>
      <c r="L206" s="270" t="s">
        <v>796</v>
      </c>
      <c r="M206" s="597" t="s">
        <v>797</v>
      </c>
    </row>
    <row r="207" spans="1:13" outlineLevel="1" x14ac:dyDescent="0.25">
      <c r="A207" s="332"/>
      <c r="B207" s="16" t="s">
        <v>67</v>
      </c>
      <c r="C207" s="508"/>
      <c r="D207" s="53"/>
      <c r="E207" s="11"/>
      <c r="F207" s="11"/>
      <c r="G207" s="106"/>
      <c r="H207" s="53"/>
      <c r="I207" s="11"/>
      <c r="J207" s="11"/>
      <c r="K207" s="106"/>
      <c r="L207" s="27"/>
    </row>
    <row r="208" spans="1:13" s="68" customFormat="1" ht="32.25" customHeight="1" x14ac:dyDescent="0.2">
      <c r="A208" s="330">
        <v>58</v>
      </c>
      <c r="B208" s="333" t="s">
        <v>454</v>
      </c>
      <c r="C208" s="532">
        <f>C209+C210+C211</f>
        <v>0</v>
      </c>
      <c r="D208" s="228">
        <f>E208+F208+G208</f>
        <v>0</v>
      </c>
      <c r="E208" s="532">
        <f t="shared" ref="E208:G208" si="144">E209+E210+E211</f>
        <v>0</v>
      </c>
      <c r="F208" s="532">
        <f t="shared" si="144"/>
        <v>0</v>
      </c>
      <c r="G208" s="532">
        <f t="shared" si="144"/>
        <v>0</v>
      </c>
      <c r="H208" s="228">
        <f>I208+J208+K208</f>
        <v>0</v>
      </c>
      <c r="I208" s="532">
        <f t="shared" ref="I208:K208" si="145">I209+I210+I211</f>
        <v>0</v>
      </c>
      <c r="J208" s="532">
        <f t="shared" si="145"/>
        <v>0</v>
      </c>
      <c r="K208" s="532">
        <f t="shared" si="145"/>
        <v>0</v>
      </c>
      <c r="L208" s="321"/>
      <c r="M208" s="652"/>
    </row>
    <row r="209" spans="1:13" outlineLevel="1" x14ac:dyDescent="0.25">
      <c r="A209" s="332"/>
      <c r="B209" s="16" t="s">
        <v>555</v>
      </c>
      <c r="C209" s="508"/>
      <c r="D209" s="53"/>
      <c r="E209" s="11"/>
      <c r="F209" s="11"/>
      <c r="G209" s="106"/>
      <c r="H209" s="53"/>
      <c r="I209" s="11"/>
      <c r="J209" s="11"/>
      <c r="K209" s="106"/>
      <c r="L209" s="27"/>
    </row>
    <row r="210" spans="1:13" outlineLevel="1" x14ac:dyDescent="0.25">
      <c r="A210" s="332"/>
      <c r="B210" s="16" t="s">
        <v>554</v>
      </c>
      <c r="C210" s="508"/>
      <c r="D210" s="53"/>
      <c r="E210" s="11"/>
      <c r="F210" s="11"/>
      <c r="G210" s="106"/>
      <c r="H210" s="53"/>
      <c r="I210" s="11"/>
      <c r="J210" s="11"/>
      <c r="K210" s="106"/>
      <c r="L210" s="27"/>
    </row>
    <row r="211" spans="1:13" outlineLevel="1" x14ac:dyDescent="0.25">
      <c r="A211" s="332"/>
      <c r="B211" s="16" t="s">
        <v>67</v>
      </c>
      <c r="C211" s="508"/>
      <c r="D211" s="53"/>
      <c r="E211" s="11"/>
      <c r="F211" s="11"/>
      <c r="G211" s="106"/>
      <c r="H211" s="53"/>
      <c r="I211" s="11"/>
      <c r="J211" s="11"/>
      <c r="K211" s="106"/>
      <c r="L211" s="27"/>
    </row>
    <row r="212" spans="1:13" s="68" customFormat="1" ht="32.25" customHeight="1" x14ac:dyDescent="0.2">
      <c r="A212" s="330">
        <v>59</v>
      </c>
      <c r="B212" s="333" t="s">
        <v>455</v>
      </c>
      <c r="C212" s="532">
        <f>C213+C214+C215</f>
        <v>0</v>
      </c>
      <c r="D212" s="228">
        <f>E212+F212+G212</f>
        <v>0</v>
      </c>
      <c r="E212" s="532">
        <f t="shared" ref="E212:G212" si="146">E213+E214+E215</f>
        <v>0</v>
      </c>
      <c r="F212" s="532">
        <f t="shared" si="146"/>
        <v>0</v>
      </c>
      <c r="G212" s="532">
        <f t="shared" si="146"/>
        <v>0</v>
      </c>
      <c r="H212" s="228">
        <f>I212+J212+K212</f>
        <v>0</v>
      </c>
      <c r="I212" s="532">
        <f t="shared" ref="I212:K212" si="147">I213+I214+I215</f>
        <v>0</v>
      </c>
      <c r="J212" s="532">
        <f t="shared" si="147"/>
        <v>0</v>
      </c>
      <c r="K212" s="532">
        <f t="shared" si="147"/>
        <v>0</v>
      </c>
      <c r="L212" s="321"/>
      <c r="M212" s="652"/>
    </row>
    <row r="213" spans="1:13" outlineLevel="1" x14ac:dyDescent="0.25">
      <c r="A213" s="332"/>
      <c r="B213" s="16" t="s">
        <v>555</v>
      </c>
      <c r="C213" s="508"/>
      <c r="D213" s="53"/>
      <c r="E213" s="11"/>
      <c r="F213" s="11"/>
      <c r="G213" s="106"/>
      <c r="H213" s="53"/>
      <c r="I213" s="11"/>
      <c r="J213" s="11"/>
      <c r="K213" s="106"/>
      <c r="L213" s="27"/>
    </row>
    <row r="214" spans="1:13" outlineLevel="1" x14ac:dyDescent="0.25">
      <c r="A214" s="332"/>
      <c r="B214" s="16" t="s">
        <v>554</v>
      </c>
      <c r="C214" s="508"/>
      <c r="D214" s="53"/>
      <c r="E214" s="11"/>
      <c r="F214" s="11"/>
      <c r="G214" s="106"/>
      <c r="H214" s="53"/>
      <c r="I214" s="11"/>
      <c r="J214" s="11"/>
      <c r="K214" s="106"/>
      <c r="L214" s="27"/>
    </row>
    <row r="215" spans="1:13" outlineLevel="1" x14ac:dyDescent="0.25">
      <c r="A215" s="332"/>
      <c r="B215" s="16" t="s">
        <v>67</v>
      </c>
      <c r="C215" s="508"/>
      <c r="D215" s="53"/>
      <c r="E215" s="11"/>
      <c r="F215" s="11"/>
      <c r="G215" s="106"/>
      <c r="H215" s="53"/>
      <c r="I215" s="11"/>
      <c r="J215" s="11"/>
      <c r="K215" s="106"/>
      <c r="L215" s="27"/>
    </row>
    <row r="216" spans="1:13" s="534" customFormat="1" ht="36.75" customHeight="1" x14ac:dyDescent="0.2">
      <c r="A216" s="88">
        <v>60</v>
      </c>
      <c r="B216" s="582" t="s">
        <v>456</v>
      </c>
      <c r="C216" s="623">
        <f t="shared" ref="C216:K216" si="148">C217+C218</f>
        <v>6172539.8200000003</v>
      </c>
      <c r="D216" s="228">
        <f>D217+D218</f>
        <v>6172539.8200000003</v>
      </c>
      <c r="E216" s="201">
        <f t="shared" si="148"/>
        <v>4540520.2915920001</v>
      </c>
      <c r="F216" s="201">
        <f t="shared" si="148"/>
        <v>308626.99100000004</v>
      </c>
      <c r="G216" s="229">
        <f t="shared" si="148"/>
        <v>1323392.5374080003</v>
      </c>
      <c r="H216" s="228">
        <f t="shared" si="148"/>
        <v>6172539.8200000003</v>
      </c>
      <c r="I216" s="201">
        <f t="shared" si="148"/>
        <v>4540520.29</v>
      </c>
      <c r="J216" s="201">
        <f t="shared" si="148"/>
        <v>308626.99</v>
      </c>
      <c r="K216" s="201">
        <f t="shared" si="148"/>
        <v>1323392.54</v>
      </c>
      <c r="L216" s="533"/>
      <c r="M216" s="654"/>
    </row>
    <row r="217" spans="1:13" s="364" customFormat="1" outlineLevel="1" x14ac:dyDescent="0.25">
      <c r="A217" s="246"/>
      <c r="B217" s="248" t="s">
        <v>555</v>
      </c>
      <c r="C217" s="509">
        <f>5568109.44+101250.95+503179.43</f>
        <v>6172539.8200000003</v>
      </c>
      <c r="D217" s="316">
        <f>E217+F217+G217</f>
        <v>6172539.8200000003</v>
      </c>
      <c r="E217" s="257">
        <f>C217*0.7356</f>
        <v>4540520.2915920001</v>
      </c>
      <c r="F217" s="257">
        <f>C217*0.05</f>
        <v>308626.99100000004</v>
      </c>
      <c r="G217" s="269">
        <f>C217-E217-F217</f>
        <v>1323392.5374080003</v>
      </c>
      <c r="H217" s="316">
        <f>I217+J217+K217</f>
        <v>6172539.8200000003</v>
      </c>
      <c r="I217" s="257">
        <v>4540520.29</v>
      </c>
      <c r="J217" s="257">
        <v>308626.99</v>
      </c>
      <c r="K217" s="269">
        <v>1323392.54</v>
      </c>
      <c r="L217" s="270" t="s">
        <v>691</v>
      </c>
      <c r="M217" s="597"/>
    </row>
    <row r="218" spans="1:13" outlineLevel="1" x14ac:dyDescent="0.25">
      <c r="A218" s="332"/>
      <c r="B218" s="283" t="s">
        <v>67</v>
      </c>
      <c r="C218" s="724"/>
      <c r="D218" s="583"/>
      <c r="E218" s="586"/>
      <c r="F218" s="586"/>
      <c r="G218" s="587"/>
      <c r="H218" s="53"/>
      <c r="I218" s="11"/>
      <c r="J218" s="11"/>
      <c r="K218" s="106"/>
      <c r="L218" s="27"/>
    </row>
    <row r="219" spans="1:13" s="68" customFormat="1" ht="30" customHeight="1" x14ac:dyDescent="0.2">
      <c r="A219" s="330">
        <v>61</v>
      </c>
      <c r="B219" s="333" t="s">
        <v>457</v>
      </c>
      <c r="C219" s="532">
        <f>C220+C221+C222</f>
        <v>0</v>
      </c>
      <c r="D219" s="228">
        <f>E219+F219+G219</f>
        <v>0</v>
      </c>
      <c r="E219" s="532">
        <f t="shared" ref="E219:G219" si="149">E220+E221+E222</f>
        <v>0</v>
      </c>
      <c r="F219" s="532">
        <f t="shared" si="149"/>
        <v>0</v>
      </c>
      <c r="G219" s="532">
        <f t="shared" si="149"/>
        <v>0</v>
      </c>
      <c r="H219" s="228">
        <f>I219+J219+K219</f>
        <v>0</v>
      </c>
      <c r="I219" s="532">
        <f t="shared" ref="I219:K219" si="150">I220+I221+I222</f>
        <v>0</v>
      </c>
      <c r="J219" s="532">
        <f t="shared" si="150"/>
        <v>0</v>
      </c>
      <c r="K219" s="532">
        <f t="shared" si="150"/>
        <v>0</v>
      </c>
      <c r="L219" s="321"/>
      <c r="M219" s="652"/>
    </row>
    <row r="220" spans="1:13" outlineLevel="1" x14ac:dyDescent="0.25">
      <c r="A220" s="332"/>
      <c r="B220" s="16" t="s">
        <v>555</v>
      </c>
      <c r="C220" s="508"/>
      <c r="D220" s="53"/>
      <c r="E220" s="11"/>
      <c r="F220" s="11"/>
      <c r="G220" s="106"/>
      <c r="H220" s="53"/>
      <c r="I220" s="11"/>
      <c r="J220" s="11"/>
      <c r="K220" s="106"/>
      <c r="L220" s="27"/>
    </row>
    <row r="221" spans="1:13" outlineLevel="1" x14ac:dyDescent="0.25">
      <c r="A221" s="332"/>
      <c r="B221" s="16" t="s">
        <v>554</v>
      </c>
      <c r="C221" s="508"/>
      <c r="D221" s="53"/>
      <c r="E221" s="11"/>
      <c r="F221" s="11"/>
      <c r="G221" s="106"/>
      <c r="H221" s="53"/>
      <c r="I221" s="11"/>
      <c r="J221" s="11"/>
      <c r="K221" s="106"/>
      <c r="L221" s="27"/>
    </row>
    <row r="222" spans="1:13" outlineLevel="1" x14ac:dyDescent="0.25">
      <c r="A222" s="332"/>
      <c r="B222" s="16" t="s">
        <v>67</v>
      </c>
      <c r="C222" s="508"/>
      <c r="D222" s="53"/>
      <c r="E222" s="11"/>
      <c r="F222" s="11"/>
      <c r="G222" s="106"/>
      <c r="H222" s="53"/>
      <c r="I222" s="11"/>
      <c r="J222" s="11"/>
      <c r="K222" s="106"/>
      <c r="L222" s="27"/>
    </row>
    <row r="223" spans="1:13" s="68" customFormat="1" ht="32.25" customHeight="1" x14ac:dyDescent="0.2">
      <c r="A223" s="330">
        <v>62</v>
      </c>
      <c r="B223" s="333" t="s">
        <v>458</v>
      </c>
      <c r="C223" s="532">
        <f>C224+C225+C226</f>
        <v>0</v>
      </c>
      <c r="D223" s="228">
        <f>E223+F223+G223</f>
        <v>0</v>
      </c>
      <c r="E223" s="532">
        <f t="shared" ref="E223:G223" si="151">E224+E225+E226</f>
        <v>0</v>
      </c>
      <c r="F223" s="532">
        <f t="shared" si="151"/>
        <v>0</v>
      </c>
      <c r="G223" s="532">
        <f t="shared" si="151"/>
        <v>0</v>
      </c>
      <c r="H223" s="228">
        <f>I223+J223+K223</f>
        <v>0</v>
      </c>
      <c r="I223" s="532">
        <f t="shared" ref="I223:K223" si="152">I224+I225+I226</f>
        <v>0</v>
      </c>
      <c r="J223" s="532">
        <f t="shared" si="152"/>
        <v>0</v>
      </c>
      <c r="K223" s="532">
        <f t="shared" si="152"/>
        <v>0</v>
      </c>
      <c r="L223" s="321"/>
      <c r="M223" s="652"/>
    </row>
    <row r="224" spans="1:13" outlineLevel="1" x14ac:dyDescent="0.25">
      <c r="A224" s="332"/>
      <c r="B224" s="16" t="s">
        <v>557</v>
      </c>
      <c r="C224" s="508"/>
      <c r="D224" s="53"/>
      <c r="E224" s="11"/>
      <c r="F224" s="11"/>
      <c r="G224" s="106"/>
      <c r="H224" s="53"/>
      <c r="I224" s="11"/>
      <c r="J224" s="11"/>
      <c r="K224" s="106"/>
      <c r="L224" s="27"/>
    </row>
    <row r="225" spans="1:13" outlineLevel="1" x14ac:dyDescent="0.25">
      <c r="A225" s="332"/>
      <c r="B225" s="16" t="s">
        <v>554</v>
      </c>
      <c r="C225" s="508"/>
      <c r="D225" s="53"/>
      <c r="E225" s="11"/>
      <c r="F225" s="11"/>
      <c r="G225" s="106"/>
      <c r="H225" s="53"/>
      <c r="I225" s="11"/>
      <c r="J225" s="11"/>
      <c r="K225" s="106"/>
      <c r="L225" s="27"/>
    </row>
    <row r="226" spans="1:13" outlineLevel="1" x14ac:dyDescent="0.25">
      <c r="A226" s="332"/>
      <c r="B226" s="16" t="s">
        <v>67</v>
      </c>
      <c r="C226" s="508"/>
      <c r="D226" s="53"/>
      <c r="E226" s="11"/>
      <c r="F226" s="11"/>
      <c r="G226" s="106"/>
      <c r="H226" s="53"/>
      <c r="I226" s="11"/>
      <c r="J226" s="11"/>
      <c r="K226" s="106"/>
      <c r="L226" s="27"/>
    </row>
    <row r="227" spans="1:13" s="68" customFormat="1" ht="27.75" customHeight="1" x14ac:dyDescent="0.2">
      <c r="A227" s="330">
        <v>63</v>
      </c>
      <c r="B227" s="333" t="s">
        <v>459</v>
      </c>
      <c r="C227" s="623">
        <f t="shared" ref="C227:K227" si="153">C228+C229</f>
        <v>4784341.8600000003</v>
      </c>
      <c r="D227" s="228">
        <f>D228+D229</f>
        <v>4784341.8600000003</v>
      </c>
      <c r="E227" s="201">
        <f t="shared" si="153"/>
        <v>3239382.1865688004</v>
      </c>
      <c r="F227" s="201">
        <f t="shared" si="153"/>
        <v>239217.09300000002</v>
      </c>
      <c r="G227" s="229">
        <f t="shared" si="153"/>
        <v>1305742.5804311999</v>
      </c>
      <c r="H227" s="228">
        <f t="shared" si="153"/>
        <v>4784341.8599999994</v>
      </c>
      <c r="I227" s="201">
        <f t="shared" si="153"/>
        <v>3239382.19</v>
      </c>
      <c r="J227" s="201">
        <f t="shared" si="153"/>
        <v>239217.09</v>
      </c>
      <c r="K227" s="201">
        <f t="shared" si="153"/>
        <v>1305742.58</v>
      </c>
      <c r="L227" s="321"/>
      <c r="M227" s="652"/>
    </row>
    <row r="228" spans="1:13" s="364" customFormat="1" outlineLevel="1" x14ac:dyDescent="0.25">
      <c r="A228" s="246"/>
      <c r="B228" s="248" t="s">
        <v>555</v>
      </c>
      <c r="C228" s="509">
        <v>4784341.8600000003</v>
      </c>
      <c r="D228" s="316">
        <f>E228+F228+G228</f>
        <v>4784341.8600000003</v>
      </c>
      <c r="E228" s="257">
        <v>3239382.1865688004</v>
      </c>
      <c r="F228" s="257">
        <v>239217.09300000002</v>
      </c>
      <c r="G228" s="269">
        <v>1305742.5804311999</v>
      </c>
      <c r="H228" s="316">
        <f>I228+J228+K228</f>
        <v>4784341.8599999994</v>
      </c>
      <c r="I228" s="257">
        <v>3239382.19</v>
      </c>
      <c r="J228" s="257">
        <v>239217.09</v>
      </c>
      <c r="K228" s="269">
        <v>1305742.58</v>
      </c>
      <c r="L228" s="270" t="s">
        <v>789</v>
      </c>
      <c r="M228" s="597" t="s">
        <v>783</v>
      </c>
    </row>
    <row r="229" spans="1:13" outlineLevel="1" x14ac:dyDescent="0.25">
      <c r="A229" s="332"/>
      <c r="B229" s="16" t="s">
        <v>67</v>
      </c>
      <c r="C229" s="508"/>
      <c r="D229" s="53"/>
      <c r="E229" s="11"/>
      <c r="F229" s="11"/>
      <c r="G229" s="106"/>
      <c r="H229" s="53"/>
      <c r="I229" s="11"/>
      <c r="J229" s="11"/>
      <c r="K229" s="106"/>
      <c r="L229" s="27"/>
    </row>
    <row r="230" spans="1:13" s="68" customFormat="1" ht="30.75" customHeight="1" x14ac:dyDescent="0.2">
      <c r="A230" s="330">
        <v>64</v>
      </c>
      <c r="B230" s="333" t="s">
        <v>460</v>
      </c>
      <c r="C230" s="532">
        <f>C231+C232+C233+C234</f>
        <v>0</v>
      </c>
      <c r="D230" s="228">
        <f>E230+F230+G230</f>
        <v>0</v>
      </c>
      <c r="E230" s="532">
        <f t="shared" ref="E230:G230" si="154">E231+E232+E233+E234</f>
        <v>0</v>
      </c>
      <c r="F230" s="532">
        <f t="shared" si="154"/>
        <v>0</v>
      </c>
      <c r="G230" s="532">
        <f t="shared" si="154"/>
        <v>0</v>
      </c>
      <c r="H230" s="228">
        <f>I230+J230+K230</f>
        <v>0</v>
      </c>
      <c r="I230" s="532">
        <f t="shared" ref="I230:K230" si="155">I231+I232+I233+I234</f>
        <v>0</v>
      </c>
      <c r="J230" s="532">
        <f t="shared" si="155"/>
        <v>0</v>
      </c>
      <c r="K230" s="532">
        <f t="shared" si="155"/>
        <v>0</v>
      </c>
      <c r="L230" s="321"/>
      <c r="M230" s="652"/>
    </row>
    <row r="231" spans="1:13" outlineLevel="1" x14ac:dyDescent="0.25">
      <c r="A231" s="332"/>
      <c r="B231" s="16" t="s">
        <v>68</v>
      </c>
      <c r="C231" s="508"/>
      <c r="D231" s="53"/>
      <c r="E231" s="11"/>
      <c r="F231" s="11"/>
      <c r="G231" s="106"/>
      <c r="H231" s="53"/>
      <c r="I231" s="11"/>
      <c r="J231" s="11"/>
      <c r="K231" s="106"/>
      <c r="L231" s="27"/>
    </row>
    <row r="232" spans="1:13" outlineLevel="1" x14ac:dyDescent="0.25">
      <c r="A232" s="332"/>
      <c r="B232" s="16" t="s">
        <v>64</v>
      </c>
      <c r="C232" s="508"/>
      <c r="D232" s="53"/>
      <c r="E232" s="11"/>
      <c r="F232" s="11"/>
      <c r="G232" s="106"/>
      <c r="H232" s="53"/>
      <c r="I232" s="11"/>
      <c r="J232" s="11"/>
      <c r="K232" s="106"/>
      <c r="L232" s="27"/>
    </row>
    <row r="233" spans="1:13" outlineLevel="1" x14ac:dyDescent="0.25">
      <c r="A233" s="332"/>
      <c r="B233" s="16" t="s">
        <v>554</v>
      </c>
      <c r="C233" s="508"/>
      <c r="D233" s="53"/>
      <c r="E233" s="11"/>
      <c r="F233" s="11"/>
      <c r="G233" s="106"/>
      <c r="H233" s="53"/>
      <c r="I233" s="11"/>
      <c r="J233" s="11"/>
      <c r="K233" s="106"/>
      <c r="L233" s="27"/>
    </row>
    <row r="234" spans="1:13" outlineLevel="1" x14ac:dyDescent="0.25">
      <c r="A234" s="332"/>
      <c r="B234" s="16" t="s">
        <v>67</v>
      </c>
      <c r="C234" s="508"/>
      <c r="D234" s="53"/>
      <c r="E234" s="11"/>
      <c r="F234" s="11"/>
      <c r="G234" s="106"/>
      <c r="H234" s="53"/>
      <c r="I234" s="11"/>
      <c r="J234" s="11"/>
      <c r="K234" s="106"/>
      <c r="L234" s="27"/>
    </row>
    <row r="235" spans="1:13" s="534" customFormat="1" ht="32.25" customHeight="1" x14ac:dyDescent="0.2">
      <c r="A235" s="88">
        <v>65</v>
      </c>
      <c r="B235" s="582" t="s">
        <v>461</v>
      </c>
      <c r="C235" s="624">
        <f>C236+C237</f>
        <v>5472956.4500000002</v>
      </c>
      <c r="D235" s="228">
        <f>E235+F235+G235</f>
        <v>5472956.4500000002</v>
      </c>
      <c r="E235" s="201">
        <f t="shared" ref="E235:G235" si="156">E236+E237</f>
        <v>3705629.353166</v>
      </c>
      <c r="F235" s="201">
        <f t="shared" si="156"/>
        <v>273647.82250000001</v>
      </c>
      <c r="G235" s="624">
        <f t="shared" si="156"/>
        <v>1493679.2743340002</v>
      </c>
      <c r="H235" s="228">
        <f>I235+J235+K235</f>
        <v>5472956.4499999993</v>
      </c>
      <c r="I235" s="201">
        <f t="shared" ref="I235:K235" si="157">I236+I237</f>
        <v>3705629.36</v>
      </c>
      <c r="J235" s="201">
        <f t="shared" si="157"/>
        <v>273647.82</v>
      </c>
      <c r="K235" s="624">
        <f t="shared" si="157"/>
        <v>1493679.27</v>
      </c>
      <c r="L235" s="533"/>
      <c r="M235" s="654"/>
    </row>
    <row r="236" spans="1:13" s="364" customFormat="1" outlineLevel="1" x14ac:dyDescent="0.25">
      <c r="A236" s="246"/>
      <c r="B236" s="248" t="s">
        <v>555</v>
      </c>
      <c r="C236" s="509">
        <v>5472956.4500000002</v>
      </c>
      <c r="D236" s="316">
        <f>E236+F236+G236</f>
        <v>5472956.4500000002</v>
      </c>
      <c r="E236" s="257">
        <f>C236*0.67708</f>
        <v>3705629.353166</v>
      </c>
      <c r="F236" s="257">
        <f>C236*5%</f>
        <v>273647.82250000001</v>
      </c>
      <c r="G236" s="269">
        <f>C236-E236-F236</f>
        <v>1493679.2743340002</v>
      </c>
      <c r="H236" s="316">
        <f>I236+J236+K236</f>
        <v>5472956.4499999993</v>
      </c>
      <c r="I236" s="257">
        <v>3705629.36</v>
      </c>
      <c r="J236" s="257">
        <v>273647.82</v>
      </c>
      <c r="K236" s="269">
        <v>1493679.27</v>
      </c>
      <c r="L236" s="270" t="s">
        <v>778</v>
      </c>
      <c r="M236" s="597" t="s">
        <v>779</v>
      </c>
    </row>
    <row r="237" spans="1:13" outlineLevel="1" x14ac:dyDescent="0.25">
      <c r="A237" s="332"/>
      <c r="B237" s="16" t="s">
        <v>67</v>
      </c>
      <c r="C237" s="508"/>
      <c r="D237" s="53">
        <f>E237+F237+G237</f>
        <v>0</v>
      </c>
      <c r="E237" s="11"/>
      <c r="F237" s="11"/>
      <c r="G237" s="106"/>
      <c r="H237" s="53"/>
      <c r="I237" s="11"/>
      <c r="J237" s="11"/>
      <c r="K237" s="106"/>
      <c r="L237" s="27"/>
    </row>
    <row r="238" spans="1:13" s="68" customFormat="1" ht="33" customHeight="1" x14ac:dyDescent="0.2">
      <c r="A238" s="330">
        <v>66</v>
      </c>
      <c r="B238" s="333" t="s">
        <v>462</v>
      </c>
      <c r="C238" s="532">
        <f>C239+C240+C241</f>
        <v>0</v>
      </c>
      <c r="D238" s="228">
        <f>E238+F238+G238</f>
        <v>0</v>
      </c>
      <c r="E238" s="532">
        <f t="shared" ref="E238:G238" si="158">E239+E240+E241</f>
        <v>0</v>
      </c>
      <c r="F238" s="532">
        <f t="shared" si="158"/>
        <v>0</v>
      </c>
      <c r="G238" s="532">
        <f t="shared" si="158"/>
        <v>0</v>
      </c>
      <c r="H238" s="228">
        <f>I238+J238+K238</f>
        <v>0</v>
      </c>
      <c r="I238" s="532">
        <f t="shared" ref="I238:K238" si="159">I239+I240+I241</f>
        <v>0</v>
      </c>
      <c r="J238" s="532">
        <f t="shared" si="159"/>
        <v>0</v>
      </c>
      <c r="K238" s="532">
        <f t="shared" si="159"/>
        <v>0</v>
      </c>
      <c r="L238" s="321"/>
      <c r="M238" s="652"/>
    </row>
    <row r="239" spans="1:13" outlineLevel="1" x14ac:dyDescent="0.25">
      <c r="A239" s="332"/>
      <c r="B239" s="16" t="s">
        <v>555</v>
      </c>
      <c r="C239" s="508"/>
      <c r="D239" s="53"/>
      <c r="E239" s="11"/>
      <c r="F239" s="11"/>
      <c r="G239" s="106"/>
      <c r="H239" s="53"/>
      <c r="I239" s="11"/>
      <c r="J239" s="11"/>
      <c r="K239" s="106"/>
      <c r="L239" s="27"/>
    </row>
    <row r="240" spans="1:13" outlineLevel="1" x14ac:dyDescent="0.25">
      <c r="A240" s="332"/>
      <c r="B240" s="16" t="s">
        <v>554</v>
      </c>
      <c r="C240" s="508"/>
      <c r="D240" s="53"/>
      <c r="E240" s="11"/>
      <c r="F240" s="11"/>
      <c r="G240" s="106"/>
      <c r="H240" s="53"/>
      <c r="I240" s="11"/>
      <c r="J240" s="11"/>
      <c r="K240" s="106"/>
      <c r="L240" s="27"/>
    </row>
    <row r="241" spans="1:13" outlineLevel="1" x14ac:dyDescent="0.25">
      <c r="A241" s="332"/>
      <c r="B241" s="16" t="s">
        <v>67</v>
      </c>
      <c r="C241" s="508"/>
      <c r="D241" s="53"/>
      <c r="E241" s="11"/>
      <c r="F241" s="11"/>
      <c r="G241" s="106"/>
      <c r="H241" s="53"/>
      <c r="I241" s="11"/>
      <c r="J241" s="11"/>
      <c r="K241" s="106"/>
      <c r="L241" s="27"/>
    </row>
    <row r="242" spans="1:13" s="68" customFormat="1" ht="34.5" customHeight="1" x14ac:dyDescent="0.2">
      <c r="A242" s="330">
        <v>67</v>
      </c>
      <c r="B242" s="333" t="s">
        <v>463</v>
      </c>
      <c r="C242" s="507"/>
      <c r="D242" s="323"/>
      <c r="E242" s="189"/>
      <c r="F242" s="189"/>
      <c r="G242" s="324"/>
      <c r="H242" s="323"/>
      <c r="I242" s="189"/>
      <c r="J242" s="189"/>
      <c r="K242" s="324"/>
      <c r="L242" s="321"/>
      <c r="M242" s="652"/>
    </row>
    <row r="243" spans="1:13" outlineLevel="1" x14ac:dyDescent="0.25">
      <c r="A243" s="332"/>
      <c r="B243" s="43" t="s">
        <v>68</v>
      </c>
      <c r="C243" s="508"/>
      <c r="D243" s="53"/>
      <c r="E243" s="11"/>
      <c r="F243" s="11"/>
      <c r="G243" s="106"/>
      <c r="H243" s="53"/>
      <c r="I243" s="11"/>
      <c r="J243" s="11"/>
      <c r="K243" s="106"/>
      <c r="L243" s="27"/>
    </row>
    <row r="244" spans="1:13" outlineLevel="1" x14ac:dyDescent="0.25">
      <c r="A244" s="332"/>
      <c r="B244" s="43" t="s">
        <v>64</v>
      </c>
      <c r="C244" s="508"/>
      <c r="D244" s="53"/>
      <c r="E244" s="11"/>
      <c r="F244" s="11"/>
      <c r="G244" s="106"/>
      <c r="H244" s="53"/>
      <c r="I244" s="11"/>
      <c r="J244" s="11"/>
      <c r="K244" s="106"/>
      <c r="L244" s="27"/>
    </row>
    <row r="245" spans="1:13" outlineLevel="1" x14ac:dyDescent="0.25">
      <c r="A245" s="332"/>
      <c r="B245" s="43" t="s">
        <v>65</v>
      </c>
      <c r="C245" s="508"/>
      <c r="D245" s="53"/>
      <c r="E245" s="11"/>
      <c r="F245" s="11"/>
      <c r="G245" s="106"/>
      <c r="H245" s="53"/>
      <c r="I245" s="11"/>
      <c r="J245" s="11"/>
      <c r="K245" s="106"/>
      <c r="L245" s="27"/>
    </row>
    <row r="246" spans="1:13" outlineLevel="1" x14ac:dyDescent="0.25">
      <c r="A246" s="332"/>
      <c r="B246" s="43" t="s">
        <v>66</v>
      </c>
      <c r="C246" s="508"/>
      <c r="D246" s="53"/>
      <c r="E246" s="11"/>
      <c r="F246" s="11"/>
      <c r="G246" s="106"/>
      <c r="H246" s="53"/>
      <c r="I246" s="11"/>
      <c r="J246" s="11"/>
      <c r="K246" s="106"/>
      <c r="L246" s="27"/>
    </row>
    <row r="247" spans="1:13" outlineLevel="1" x14ac:dyDescent="0.25">
      <c r="A247" s="332"/>
      <c r="B247" s="16" t="s">
        <v>557</v>
      </c>
      <c r="C247" s="508"/>
      <c r="D247" s="53"/>
      <c r="E247" s="11"/>
      <c r="F247" s="11"/>
      <c r="G247" s="106"/>
      <c r="H247" s="53"/>
      <c r="I247" s="11"/>
      <c r="J247" s="11"/>
      <c r="K247" s="106"/>
      <c r="L247" s="27"/>
    </row>
    <row r="248" spans="1:13" outlineLevel="1" x14ac:dyDescent="0.25">
      <c r="A248" s="332"/>
      <c r="B248" s="16" t="s">
        <v>554</v>
      </c>
      <c r="C248" s="508"/>
      <c r="D248" s="53"/>
      <c r="E248" s="11"/>
      <c r="F248" s="11"/>
      <c r="G248" s="106"/>
      <c r="H248" s="53"/>
      <c r="I248" s="11"/>
      <c r="J248" s="11"/>
      <c r="K248" s="106"/>
      <c r="L248" s="27"/>
    </row>
    <row r="249" spans="1:13" outlineLevel="1" x14ac:dyDescent="0.25">
      <c r="A249" s="332"/>
      <c r="B249" s="16" t="s">
        <v>67</v>
      </c>
      <c r="C249" s="508"/>
      <c r="D249" s="53"/>
      <c r="E249" s="11"/>
      <c r="F249" s="11"/>
      <c r="G249" s="106"/>
      <c r="H249" s="53"/>
      <c r="I249" s="11"/>
      <c r="J249" s="11"/>
      <c r="K249" s="106"/>
      <c r="L249" s="27"/>
    </row>
    <row r="250" spans="1:13" s="68" customFormat="1" ht="28.5" customHeight="1" x14ac:dyDescent="0.2">
      <c r="A250" s="330">
        <v>68</v>
      </c>
      <c r="B250" s="333" t="s">
        <v>609</v>
      </c>
      <c r="C250" s="532">
        <f>C251+C252+C253</f>
        <v>0</v>
      </c>
      <c r="D250" s="228">
        <f>E250+F250+G250</f>
        <v>0</v>
      </c>
      <c r="E250" s="532">
        <f t="shared" ref="E250:G250" si="160">E251+E252+E253</f>
        <v>0</v>
      </c>
      <c r="F250" s="532">
        <f t="shared" si="160"/>
        <v>0</v>
      </c>
      <c r="G250" s="532">
        <f t="shared" si="160"/>
        <v>0</v>
      </c>
      <c r="H250" s="228">
        <f>I250+J250+K250</f>
        <v>0</v>
      </c>
      <c r="I250" s="532">
        <f t="shared" ref="I250:K250" si="161">I251+I252+I253</f>
        <v>0</v>
      </c>
      <c r="J250" s="532">
        <f t="shared" si="161"/>
        <v>0</v>
      </c>
      <c r="K250" s="532">
        <f t="shared" si="161"/>
        <v>0</v>
      </c>
      <c r="L250" s="321"/>
      <c r="M250" s="652"/>
    </row>
    <row r="251" spans="1:13" outlineLevel="1" x14ac:dyDescent="0.25">
      <c r="A251" s="332"/>
      <c r="B251" s="16" t="s">
        <v>555</v>
      </c>
      <c r="C251" s="508"/>
      <c r="D251" s="53"/>
      <c r="E251" s="11"/>
      <c r="F251" s="11"/>
      <c r="G251" s="106"/>
      <c r="H251" s="53"/>
      <c r="I251" s="11"/>
      <c r="J251" s="11"/>
      <c r="K251" s="106"/>
      <c r="L251" s="27"/>
    </row>
    <row r="252" spans="1:13" outlineLevel="1" x14ac:dyDescent="0.25">
      <c r="A252" s="332"/>
      <c r="B252" s="16" t="s">
        <v>554</v>
      </c>
      <c r="C252" s="508"/>
      <c r="D252" s="53"/>
      <c r="E252" s="11"/>
      <c r="F252" s="11"/>
      <c r="G252" s="106"/>
      <c r="H252" s="53"/>
      <c r="I252" s="11"/>
      <c r="J252" s="11"/>
      <c r="K252" s="106"/>
      <c r="L252" s="27"/>
    </row>
    <row r="253" spans="1:13" outlineLevel="1" x14ac:dyDescent="0.25">
      <c r="A253" s="332"/>
      <c r="B253" s="16" t="s">
        <v>67</v>
      </c>
      <c r="C253" s="508"/>
      <c r="D253" s="53"/>
      <c r="E253" s="11"/>
      <c r="F253" s="11"/>
      <c r="G253" s="106"/>
      <c r="H253" s="53"/>
      <c r="I253" s="11"/>
      <c r="J253" s="11"/>
      <c r="K253" s="106"/>
      <c r="L253" s="27"/>
    </row>
    <row r="254" spans="1:13" s="68" customFormat="1" ht="33" customHeight="1" x14ac:dyDescent="0.2">
      <c r="A254" s="330">
        <v>69</v>
      </c>
      <c r="B254" s="333" t="s">
        <v>464</v>
      </c>
      <c r="C254" s="532">
        <f>C255+C256+C257</f>
        <v>0</v>
      </c>
      <c r="D254" s="228">
        <f>E254+F254+G254</f>
        <v>0</v>
      </c>
      <c r="E254" s="532">
        <f t="shared" ref="E254:G254" si="162">E255+E256+E257</f>
        <v>0</v>
      </c>
      <c r="F254" s="532">
        <f t="shared" si="162"/>
        <v>0</v>
      </c>
      <c r="G254" s="532">
        <f t="shared" si="162"/>
        <v>0</v>
      </c>
      <c r="H254" s="228">
        <f>I254+J254+K254</f>
        <v>0</v>
      </c>
      <c r="I254" s="532">
        <f t="shared" ref="I254:K254" si="163">I255+I256+I257</f>
        <v>0</v>
      </c>
      <c r="J254" s="532">
        <f t="shared" si="163"/>
        <v>0</v>
      </c>
      <c r="K254" s="532">
        <f t="shared" si="163"/>
        <v>0</v>
      </c>
      <c r="L254" s="321"/>
      <c r="M254" s="652"/>
    </row>
    <row r="255" spans="1:13" outlineLevel="1" x14ac:dyDescent="0.25">
      <c r="A255" s="332"/>
      <c r="B255" s="16" t="s">
        <v>555</v>
      </c>
      <c r="C255" s="508"/>
      <c r="D255" s="53"/>
      <c r="E255" s="11"/>
      <c r="F255" s="11"/>
      <c r="G255" s="106"/>
      <c r="H255" s="53"/>
      <c r="I255" s="11"/>
      <c r="J255" s="11"/>
      <c r="K255" s="106"/>
      <c r="L255" s="27"/>
    </row>
    <row r="256" spans="1:13" outlineLevel="1" x14ac:dyDescent="0.25">
      <c r="A256" s="332"/>
      <c r="B256" s="16" t="s">
        <v>554</v>
      </c>
      <c r="C256" s="508"/>
      <c r="D256" s="53"/>
      <c r="E256" s="11"/>
      <c r="F256" s="11"/>
      <c r="G256" s="106"/>
      <c r="H256" s="53"/>
      <c r="I256" s="11"/>
      <c r="J256" s="11"/>
      <c r="K256" s="106"/>
      <c r="L256" s="27"/>
    </row>
    <row r="257" spans="1:13" outlineLevel="1" x14ac:dyDescent="0.25">
      <c r="A257" s="332"/>
      <c r="B257" s="16" t="s">
        <v>67</v>
      </c>
      <c r="C257" s="508"/>
      <c r="D257" s="53"/>
      <c r="E257" s="11"/>
      <c r="F257" s="11"/>
      <c r="G257" s="106"/>
      <c r="H257" s="53"/>
      <c r="I257" s="11"/>
      <c r="J257" s="11"/>
      <c r="K257" s="106"/>
      <c r="L257" s="27"/>
    </row>
    <row r="258" spans="1:13" s="68" customFormat="1" ht="30.75" customHeight="1" x14ac:dyDescent="0.2">
      <c r="A258" s="330">
        <v>70</v>
      </c>
      <c r="B258" s="333" t="s">
        <v>465</v>
      </c>
      <c r="C258" s="532">
        <f>C259+C260+C261</f>
        <v>0</v>
      </c>
      <c r="D258" s="228">
        <f>E258+F258+G258</f>
        <v>0</v>
      </c>
      <c r="E258" s="532">
        <f t="shared" ref="E258:G258" si="164">E259+E260+E261</f>
        <v>0</v>
      </c>
      <c r="F258" s="532">
        <f t="shared" si="164"/>
        <v>0</v>
      </c>
      <c r="G258" s="532">
        <f t="shared" si="164"/>
        <v>0</v>
      </c>
      <c r="H258" s="228">
        <f>I258+J258+K258</f>
        <v>0</v>
      </c>
      <c r="I258" s="532">
        <f t="shared" ref="I258:K258" si="165">I259+I260+I261</f>
        <v>0</v>
      </c>
      <c r="J258" s="532">
        <f t="shared" si="165"/>
        <v>0</v>
      </c>
      <c r="K258" s="532">
        <f t="shared" si="165"/>
        <v>0</v>
      </c>
      <c r="L258" s="321"/>
      <c r="M258" s="652"/>
    </row>
    <row r="259" spans="1:13" outlineLevel="1" x14ac:dyDescent="0.25">
      <c r="A259" s="332"/>
      <c r="B259" s="16" t="s">
        <v>555</v>
      </c>
      <c r="C259" s="508"/>
      <c r="D259" s="53"/>
      <c r="E259" s="11"/>
      <c r="F259" s="11"/>
      <c r="G259" s="106"/>
      <c r="H259" s="53"/>
      <c r="I259" s="11"/>
      <c r="J259" s="11"/>
      <c r="K259" s="106"/>
      <c r="L259" s="27"/>
    </row>
    <row r="260" spans="1:13" outlineLevel="1" x14ac:dyDescent="0.25">
      <c r="A260" s="332"/>
      <c r="B260" s="16" t="s">
        <v>554</v>
      </c>
      <c r="C260" s="508"/>
      <c r="D260" s="53"/>
      <c r="E260" s="11"/>
      <c r="F260" s="11"/>
      <c r="G260" s="106"/>
      <c r="H260" s="53"/>
      <c r="I260" s="11"/>
      <c r="J260" s="11"/>
      <c r="K260" s="106"/>
      <c r="L260" s="27"/>
    </row>
    <row r="261" spans="1:13" outlineLevel="1" x14ac:dyDescent="0.25">
      <c r="A261" s="332"/>
      <c r="B261" s="16" t="s">
        <v>67</v>
      </c>
      <c r="C261" s="508"/>
      <c r="D261" s="53"/>
      <c r="E261" s="11"/>
      <c r="F261" s="11"/>
      <c r="G261" s="106"/>
      <c r="H261" s="53"/>
      <c r="I261" s="11"/>
      <c r="J261" s="11"/>
      <c r="K261" s="106"/>
      <c r="L261" s="27"/>
    </row>
    <row r="262" spans="1:13" s="68" customFormat="1" ht="33" customHeight="1" x14ac:dyDescent="0.2">
      <c r="A262" s="330">
        <v>71</v>
      </c>
      <c r="B262" s="333" t="s">
        <v>466</v>
      </c>
      <c r="C262" s="532">
        <f>C263+C264+C265</f>
        <v>0</v>
      </c>
      <c r="D262" s="228">
        <f>E262+F262+G262</f>
        <v>0</v>
      </c>
      <c r="E262" s="532">
        <f t="shared" ref="E262:G262" si="166">E263+E264+E265</f>
        <v>0</v>
      </c>
      <c r="F262" s="532">
        <f t="shared" si="166"/>
        <v>0</v>
      </c>
      <c r="G262" s="532">
        <f t="shared" si="166"/>
        <v>0</v>
      </c>
      <c r="H262" s="228">
        <f>I262+J262+K262</f>
        <v>0</v>
      </c>
      <c r="I262" s="532">
        <f t="shared" ref="I262:K262" si="167">I263+I264+I265</f>
        <v>0</v>
      </c>
      <c r="J262" s="532">
        <f t="shared" si="167"/>
        <v>0</v>
      </c>
      <c r="K262" s="532">
        <f t="shared" si="167"/>
        <v>0</v>
      </c>
      <c r="L262" s="321"/>
      <c r="M262" s="652"/>
    </row>
    <row r="263" spans="1:13" outlineLevel="1" x14ac:dyDescent="0.25">
      <c r="A263" s="332"/>
      <c r="B263" s="16" t="s">
        <v>555</v>
      </c>
      <c r="C263" s="508"/>
      <c r="D263" s="53"/>
      <c r="E263" s="11"/>
      <c r="F263" s="11"/>
      <c r="G263" s="106"/>
      <c r="H263" s="53"/>
      <c r="I263" s="11"/>
      <c r="J263" s="11"/>
      <c r="K263" s="106"/>
      <c r="L263" s="27"/>
    </row>
    <row r="264" spans="1:13" outlineLevel="1" x14ac:dyDescent="0.25">
      <c r="A264" s="332"/>
      <c r="B264" s="16" t="s">
        <v>554</v>
      </c>
      <c r="C264" s="508"/>
      <c r="D264" s="53"/>
      <c r="E264" s="11"/>
      <c r="F264" s="11"/>
      <c r="G264" s="106"/>
      <c r="H264" s="53"/>
      <c r="I264" s="11"/>
      <c r="J264" s="11"/>
      <c r="K264" s="106"/>
      <c r="L264" s="27"/>
    </row>
    <row r="265" spans="1:13" outlineLevel="1" x14ac:dyDescent="0.25">
      <c r="A265" s="332"/>
      <c r="B265" s="16" t="s">
        <v>67</v>
      </c>
      <c r="C265" s="508"/>
      <c r="D265" s="53"/>
      <c r="E265" s="11"/>
      <c r="F265" s="11"/>
      <c r="G265" s="106"/>
      <c r="H265" s="53"/>
      <c r="I265" s="11"/>
      <c r="J265" s="11"/>
      <c r="K265" s="106"/>
      <c r="L265" s="27"/>
    </row>
    <row r="266" spans="1:13" s="68" customFormat="1" ht="30.75" customHeight="1" x14ac:dyDescent="0.2">
      <c r="A266" s="330">
        <v>72</v>
      </c>
      <c r="B266" s="333" t="s">
        <v>467</v>
      </c>
      <c r="C266" s="532">
        <f>C267+C268+C269</f>
        <v>0</v>
      </c>
      <c r="D266" s="228">
        <f>E266+F266+G266</f>
        <v>0</v>
      </c>
      <c r="E266" s="532">
        <f t="shared" ref="E266:G266" si="168">E267+E268+E269</f>
        <v>0</v>
      </c>
      <c r="F266" s="532">
        <f t="shared" si="168"/>
        <v>0</v>
      </c>
      <c r="G266" s="532">
        <f t="shared" si="168"/>
        <v>0</v>
      </c>
      <c r="H266" s="228">
        <f>I266+J266+K266</f>
        <v>0</v>
      </c>
      <c r="I266" s="532">
        <f t="shared" ref="I266:K266" si="169">I267+I268+I269</f>
        <v>0</v>
      </c>
      <c r="J266" s="532">
        <f t="shared" si="169"/>
        <v>0</v>
      </c>
      <c r="K266" s="532">
        <f t="shared" si="169"/>
        <v>0</v>
      </c>
      <c r="L266" s="321"/>
      <c r="M266" s="652"/>
    </row>
    <row r="267" spans="1:13" outlineLevel="1" x14ac:dyDescent="0.25">
      <c r="A267" s="332"/>
      <c r="B267" s="16" t="s">
        <v>555</v>
      </c>
      <c r="C267" s="508"/>
      <c r="D267" s="53"/>
      <c r="E267" s="11"/>
      <c r="F267" s="11"/>
      <c r="G267" s="106"/>
      <c r="H267" s="53"/>
      <c r="I267" s="11"/>
      <c r="J267" s="11"/>
      <c r="K267" s="106"/>
      <c r="L267" s="27"/>
    </row>
    <row r="268" spans="1:13" outlineLevel="1" x14ac:dyDescent="0.25">
      <c r="A268" s="332"/>
      <c r="B268" s="16" t="s">
        <v>554</v>
      </c>
      <c r="C268" s="508"/>
      <c r="D268" s="53"/>
      <c r="E268" s="11"/>
      <c r="F268" s="11"/>
      <c r="G268" s="106"/>
      <c r="H268" s="53"/>
      <c r="I268" s="11"/>
      <c r="J268" s="11"/>
      <c r="K268" s="106"/>
      <c r="L268" s="27"/>
    </row>
    <row r="269" spans="1:13" outlineLevel="1" x14ac:dyDescent="0.25">
      <c r="A269" s="332"/>
      <c r="B269" s="16" t="s">
        <v>67</v>
      </c>
      <c r="C269" s="508"/>
      <c r="D269" s="53"/>
      <c r="E269" s="11"/>
      <c r="F269" s="11"/>
      <c r="G269" s="106"/>
      <c r="H269" s="53"/>
      <c r="I269" s="11"/>
      <c r="J269" s="11"/>
      <c r="K269" s="106"/>
      <c r="L269" s="27"/>
    </row>
    <row r="270" spans="1:13" s="68" customFormat="1" ht="27" customHeight="1" x14ac:dyDescent="0.2">
      <c r="A270" s="330">
        <v>73</v>
      </c>
      <c r="B270" s="333" t="s">
        <v>468</v>
      </c>
      <c r="C270" s="532">
        <f>C271+C272+C273</f>
        <v>0</v>
      </c>
      <c r="D270" s="228">
        <f>E270+F270+G270</f>
        <v>0</v>
      </c>
      <c r="E270" s="532">
        <f t="shared" ref="E270:G270" si="170">E271+E272+E273</f>
        <v>0</v>
      </c>
      <c r="F270" s="532">
        <f t="shared" si="170"/>
        <v>0</v>
      </c>
      <c r="G270" s="532">
        <f t="shared" si="170"/>
        <v>0</v>
      </c>
      <c r="H270" s="228">
        <f>I270+J270+K270</f>
        <v>0</v>
      </c>
      <c r="I270" s="532">
        <f t="shared" ref="I270:K270" si="171">I271+I272+I273</f>
        <v>0</v>
      </c>
      <c r="J270" s="532">
        <f t="shared" si="171"/>
        <v>0</v>
      </c>
      <c r="K270" s="532">
        <f t="shared" si="171"/>
        <v>0</v>
      </c>
      <c r="L270" s="321"/>
      <c r="M270" s="652"/>
    </row>
    <row r="271" spans="1:13" outlineLevel="1" x14ac:dyDescent="0.25">
      <c r="A271" s="332"/>
      <c r="B271" s="16" t="s">
        <v>555</v>
      </c>
      <c r="C271" s="508"/>
      <c r="D271" s="53"/>
      <c r="E271" s="11"/>
      <c r="F271" s="11"/>
      <c r="G271" s="106"/>
      <c r="H271" s="53"/>
      <c r="I271" s="11"/>
      <c r="J271" s="11"/>
      <c r="K271" s="106"/>
      <c r="L271" s="27"/>
    </row>
    <row r="272" spans="1:13" outlineLevel="1" x14ac:dyDescent="0.25">
      <c r="A272" s="332"/>
      <c r="B272" s="16" t="s">
        <v>554</v>
      </c>
      <c r="C272" s="508"/>
      <c r="D272" s="53"/>
      <c r="E272" s="11"/>
      <c r="F272" s="11"/>
      <c r="G272" s="106"/>
      <c r="H272" s="53"/>
      <c r="I272" s="11"/>
      <c r="J272" s="11"/>
      <c r="K272" s="106"/>
      <c r="L272" s="27"/>
    </row>
    <row r="273" spans="1:13" outlineLevel="1" x14ac:dyDescent="0.25">
      <c r="A273" s="332"/>
      <c r="B273" s="16" t="s">
        <v>67</v>
      </c>
      <c r="C273" s="508"/>
      <c r="D273" s="53"/>
      <c r="E273" s="11"/>
      <c r="F273" s="11"/>
      <c r="G273" s="106"/>
      <c r="H273" s="53"/>
      <c r="I273" s="11"/>
      <c r="J273" s="11"/>
      <c r="K273" s="106"/>
      <c r="L273" s="27"/>
    </row>
    <row r="274" spans="1:13" s="68" customFormat="1" ht="33" customHeight="1" x14ac:dyDescent="0.2">
      <c r="A274" s="330">
        <v>74</v>
      </c>
      <c r="B274" s="333" t="s">
        <v>469</v>
      </c>
      <c r="C274" s="532">
        <f>C275+C276+C277</f>
        <v>0</v>
      </c>
      <c r="D274" s="228">
        <f>E274+F274+G274</f>
        <v>0</v>
      </c>
      <c r="E274" s="532">
        <f t="shared" ref="E274:G274" si="172">E275+E276+E277</f>
        <v>0</v>
      </c>
      <c r="F274" s="532">
        <f t="shared" si="172"/>
        <v>0</v>
      </c>
      <c r="G274" s="532">
        <f t="shared" si="172"/>
        <v>0</v>
      </c>
      <c r="H274" s="228">
        <f>I274+J274+K274</f>
        <v>0</v>
      </c>
      <c r="I274" s="532">
        <f t="shared" ref="I274:K274" si="173">I275+I276+I277</f>
        <v>0</v>
      </c>
      <c r="J274" s="532">
        <f t="shared" si="173"/>
        <v>0</v>
      </c>
      <c r="K274" s="532">
        <f t="shared" si="173"/>
        <v>0</v>
      </c>
      <c r="L274" s="321"/>
      <c r="M274" s="652"/>
    </row>
    <row r="275" spans="1:13" outlineLevel="1" x14ac:dyDescent="0.25">
      <c r="A275" s="332"/>
      <c r="B275" s="16" t="s">
        <v>555</v>
      </c>
      <c r="C275" s="508"/>
      <c r="D275" s="53"/>
      <c r="E275" s="11"/>
      <c r="F275" s="11"/>
      <c r="G275" s="106"/>
      <c r="H275" s="53"/>
      <c r="I275" s="11"/>
      <c r="J275" s="11"/>
      <c r="K275" s="106"/>
      <c r="L275" s="27"/>
    </row>
    <row r="276" spans="1:13" outlineLevel="1" x14ac:dyDescent="0.25">
      <c r="A276" s="332"/>
      <c r="B276" s="16" t="s">
        <v>554</v>
      </c>
      <c r="C276" s="508"/>
      <c r="D276" s="53"/>
      <c r="E276" s="11"/>
      <c r="F276" s="11"/>
      <c r="G276" s="106"/>
      <c r="H276" s="53"/>
      <c r="I276" s="11"/>
      <c r="J276" s="11"/>
      <c r="K276" s="106"/>
      <c r="L276" s="27"/>
    </row>
    <row r="277" spans="1:13" outlineLevel="1" x14ac:dyDescent="0.25">
      <c r="A277" s="332"/>
      <c r="B277" s="16" t="s">
        <v>67</v>
      </c>
      <c r="C277" s="508"/>
      <c r="D277" s="53"/>
      <c r="E277" s="11"/>
      <c r="F277" s="11"/>
      <c r="G277" s="106"/>
      <c r="H277" s="53"/>
      <c r="I277" s="11"/>
      <c r="J277" s="11"/>
      <c r="K277" s="106"/>
      <c r="L277" s="27"/>
    </row>
    <row r="278" spans="1:13" s="534" customFormat="1" ht="35.25" customHeight="1" x14ac:dyDescent="0.2">
      <c r="A278" s="88">
        <v>75</v>
      </c>
      <c r="B278" s="582" t="s">
        <v>470</v>
      </c>
      <c r="C278" s="285">
        <f>C279+C280</f>
        <v>8666526.2699999996</v>
      </c>
      <c r="D278" s="625">
        <f>E278+F278+G278</f>
        <v>8666526.2699999996</v>
      </c>
      <c r="E278" s="626">
        <f>E279+E280</f>
        <v>6375096.7242120001</v>
      </c>
      <c r="F278" s="626">
        <f t="shared" ref="F278:G278" si="174">F279+F280</f>
        <v>433326.31349999999</v>
      </c>
      <c r="G278" s="626">
        <f t="shared" si="174"/>
        <v>1858103.2322879995</v>
      </c>
      <c r="H278" s="228">
        <f>I278+J278+K278</f>
        <v>8666526.2699999996</v>
      </c>
      <c r="I278" s="201">
        <f>SUM(I279:I280)</f>
        <v>6375096.7300000004</v>
      </c>
      <c r="J278" s="201">
        <f t="shared" ref="J278:K278" si="175">SUM(J279:J280)</f>
        <v>433326.31</v>
      </c>
      <c r="K278" s="201">
        <f t="shared" si="175"/>
        <v>1858103.23</v>
      </c>
      <c r="L278" s="533"/>
      <c r="M278" s="654"/>
    </row>
    <row r="279" spans="1:13" s="364" customFormat="1" ht="17.25" customHeight="1" outlineLevel="1" x14ac:dyDescent="0.25">
      <c r="A279" s="246"/>
      <c r="B279" s="248" t="s">
        <v>555</v>
      </c>
      <c r="C279" s="245">
        <v>8666526.2699999996</v>
      </c>
      <c r="D279" s="249">
        <f t="shared" ref="D279" si="176">E279+F279+G279</f>
        <v>8666526.2699999996</v>
      </c>
      <c r="E279" s="250">
        <f>C279*0.7356</f>
        <v>6375096.7242120001</v>
      </c>
      <c r="F279" s="250">
        <f>C279*5%</f>
        <v>433326.31349999999</v>
      </c>
      <c r="G279" s="251">
        <f>C279-E279-F279</f>
        <v>1858103.2322879995</v>
      </c>
      <c r="H279" s="316">
        <f>I279+J279+K279</f>
        <v>8666526.2699999996</v>
      </c>
      <c r="I279" s="257">
        <v>6375096.7300000004</v>
      </c>
      <c r="J279" s="257">
        <v>433326.31</v>
      </c>
      <c r="K279" s="269">
        <v>1858103.23</v>
      </c>
      <c r="L279" s="270" t="s">
        <v>657</v>
      </c>
      <c r="M279" s="597"/>
    </row>
    <row r="280" spans="1:13" ht="15.75" customHeight="1" outlineLevel="1" x14ac:dyDescent="0.25">
      <c r="A280" s="332"/>
      <c r="B280" s="283" t="s">
        <v>67</v>
      </c>
      <c r="C280" s="724"/>
      <c r="D280" s="583"/>
      <c r="E280" s="202"/>
      <c r="F280" s="202"/>
      <c r="G280" s="265"/>
      <c r="H280" s="53"/>
      <c r="I280" s="11"/>
      <c r="J280" s="11"/>
      <c r="K280" s="106"/>
      <c r="L280" s="27"/>
    </row>
    <row r="281" spans="1:13" s="68" customFormat="1" ht="33" customHeight="1" x14ac:dyDescent="0.2">
      <c r="A281" s="330">
        <v>76</v>
      </c>
      <c r="B281" s="333" t="s">
        <v>471</v>
      </c>
      <c r="C281" s="532">
        <f>C282+C283+C284</f>
        <v>0</v>
      </c>
      <c r="D281" s="228">
        <f>E281+F281+G281</f>
        <v>0</v>
      </c>
      <c r="E281" s="532">
        <f t="shared" ref="E281:G281" si="177">E282+E283+E284</f>
        <v>0</v>
      </c>
      <c r="F281" s="532">
        <f t="shared" si="177"/>
        <v>0</v>
      </c>
      <c r="G281" s="532">
        <f t="shared" si="177"/>
        <v>0</v>
      </c>
      <c r="H281" s="228">
        <f>I281+J281+K281</f>
        <v>0</v>
      </c>
      <c r="I281" s="532">
        <f t="shared" ref="I281:K281" si="178">I282+I283+I284</f>
        <v>0</v>
      </c>
      <c r="J281" s="532">
        <f t="shared" si="178"/>
        <v>0</v>
      </c>
      <c r="K281" s="532">
        <f t="shared" si="178"/>
        <v>0</v>
      </c>
      <c r="L281" s="321"/>
      <c r="M281" s="652"/>
    </row>
    <row r="282" spans="1:13" outlineLevel="1" x14ac:dyDescent="0.25">
      <c r="A282" s="332"/>
      <c r="B282" s="16" t="s">
        <v>555</v>
      </c>
      <c r="C282" s="508"/>
      <c r="D282" s="53"/>
      <c r="E282" s="11"/>
      <c r="F282" s="11"/>
      <c r="G282" s="106"/>
      <c r="H282" s="53"/>
      <c r="I282" s="11"/>
      <c r="J282" s="11"/>
      <c r="K282" s="106"/>
      <c r="L282" s="27"/>
    </row>
    <row r="283" spans="1:13" outlineLevel="1" x14ac:dyDescent="0.25">
      <c r="A283" s="332"/>
      <c r="B283" s="16" t="s">
        <v>554</v>
      </c>
      <c r="C283" s="508"/>
      <c r="D283" s="53"/>
      <c r="E283" s="11"/>
      <c r="F283" s="11"/>
      <c r="G283" s="106"/>
      <c r="H283" s="53"/>
      <c r="I283" s="11"/>
      <c r="J283" s="11"/>
      <c r="K283" s="106"/>
      <c r="L283" s="27"/>
    </row>
    <row r="284" spans="1:13" outlineLevel="1" x14ac:dyDescent="0.25">
      <c r="A284" s="332"/>
      <c r="B284" s="16" t="s">
        <v>67</v>
      </c>
      <c r="C284" s="508"/>
      <c r="D284" s="53"/>
      <c r="E284" s="11"/>
      <c r="F284" s="11"/>
      <c r="G284" s="106"/>
      <c r="H284" s="53"/>
      <c r="I284" s="11"/>
      <c r="J284" s="11"/>
      <c r="K284" s="106"/>
      <c r="L284" s="27"/>
    </row>
    <row r="285" spans="1:13" s="68" customFormat="1" ht="35.25" customHeight="1" x14ac:dyDescent="0.2">
      <c r="A285" s="330">
        <v>77</v>
      </c>
      <c r="B285" s="333" t="s">
        <v>472</v>
      </c>
      <c r="C285" s="532">
        <f>C286+C287+C288</f>
        <v>0</v>
      </c>
      <c r="D285" s="228">
        <f>E285+F285+G285</f>
        <v>0</v>
      </c>
      <c r="E285" s="532">
        <f t="shared" ref="E285:G285" si="179">E286+E287+E288</f>
        <v>0</v>
      </c>
      <c r="F285" s="532">
        <f t="shared" si="179"/>
        <v>0</v>
      </c>
      <c r="G285" s="532">
        <f t="shared" si="179"/>
        <v>0</v>
      </c>
      <c r="H285" s="228">
        <f>I285+J285+K285</f>
        <v>0</v>
      </c>
      <c r="I285" s="532">
        <f t="shared" ref="I285:K285" si="180">I286+I287+I288</f>
        <v>0</v>
      </c>
      <c r="J285" s="532">
        <f t="shared" si="180"/>
        <v>0</v>
      </c>
      <c r="K285" s="532">
        <f t="shared" si="180"/>
        <v>0</v>
      </c>
      <c r="L285" s="321"/>
      <c r="M285" s="652"/>
    </row>
    <row r="286" spans="1:13" outlineLevel="1" x14ac:dyDescent="0.25">
      <c r="A286" s="332"/>
      <c r="B286" s="16" t="s">
        <v>555</v>
      </c>
      <c r="C286" s="508"/>
      <c r="D286" s="53"/>
      <c r="E286" s="11"/>
      <c r="F286" s="11"/>
      <c r="G286" s="106"/>
      <c r="H286" s="53"/>
      <c r="I286" s="11"/>
      <c r="J286" s="11"/>
      <c r="K286" s="106"/>
      <c r="L286" s="27"/>
    </row>
    <row r="287" spans="1:13" outlineLevel="1" x14ac:dyDescent="0.25">
      <c r="A287" s="332"/>
      <c r="B287" s="16" t="s">
        <v>554</v>
      </c>
      <c r="C287" s="508"/>
      <c r="D287" s="53"/>
      <c r="E287" s="11"/>
      <c r="F287" s="11"/>
      <c r="G287" s="106"/>
      <c r="H287" s="53"/>
      <c r="I287" s="11"/>
      <c r="J287" s="11"/>
      <c r="K287" s="106"/>
      <c r="L287" s="27"/>
    </row>
    <row r="288" spans="1:13" outlineLevel="1" x14ac:dyDescent="0.25">
      <c r="A288" s="332"/>
      <c r="B288" s="16" t="s">
        <v>67</v>
      </c>
      <c r="C288" s="508"/>
      <c r="D288" s="53"/>
      <c r="E288" s="11"/>
      <c r="F288" s="11"/>
      <c r="G288" s="106"/>
      <c r="H288" s="53"/>
      <c r="I288" s="11"/>
      <c r="J288" s="11"/>
      <c r="K288" s="106"/>
      <c r="L288" s="27"/>
    </row>
    <row r="289" spans="1:13" s="534" customFormat="1" ht="30.75" customHeight="1" x14ac:dyDescent="0.2">
      <c r="A289" s="88">
        <v>78</v>
      </c>
      <c r="B289" s="582" t="s">
        <v>473</v>
      </c>
      <c r="C289" s="285">
        <f>C290+C291</f>
        <v>4688848.1500000004</v>
      </c>
      <c r="D289" s="625">
        <f>E289+F289+G289</f>
        <v>4688848.1500000004</v>
      </c>
      <c r="E289" s="626">
        <f>E290+E291</f>
        <v>3449116.6991400006</v>
      </c>
      <c r="F289" s="626">
        <f t="shared" ref="F289:G289" si="181">F290+F291</f>
        <v>234442.40750000003</v>
      </c>
      <c r="G289" s="626">
        <f t="shared" si="181"/>
        <v>1005289.0433599998</v>
      </c>
      <c r="H289" s="228">
        <f>I289+J289+K289</f>
        <v>4688848.1500000004</v>
      </c>
      <c r="I289" s="201">
        <f>SUM(I290:I291)</f>
        <v>3449116.7</v>
      </c>
      <c r="J289" s="201">
        <f t="shared" ref="J289:K289" si="182">SUM(J290:J291)</f>
        <v>234442.41</v>
      </c>
      <c r="K289" s="201">
        <f t="shared" si="182"/>
        <v>1005289.04</v>
      </c>
      <c r="L289" s="533"/>
      <c r="M289" s="654"/>
    </row>
    <row r="290" spans="1:13" s="364" customFormat="1" outlineLevel="1" x14ac:dyDescent="0.25">
      <c r="A290" s="246"/>
      <c r="B290" s="248" t="s">
        <v>555</v>
      </c>
      <c r="C290" s="509">
        <v>4688848.1500000004</v>
      </c>
      <c r="D290" s="249">
        <f t="shared" ref="D290" si="183">E290+F290+G290</f>
        <v>4688848.1500000004</v>
      </c>
      <c r="E290" s="250">
        <f>C290*0.7356</f>
        <v>3449116.6991400006</v>
      </c>
      <c r="F290" s="250">
        <f>C290*5%</f>
        <v>234442.40750000003</v>
      </c>
      <c r="G290" s="251">
        <f>C290-E290-F290</f>
        <v>1005289.0433599998</v>
      </c>
      <c r="H290" s="316">
        <f>I290+J290+K290</f>
        <v>4688848.1500000004</v>
      </c>
      <c r="I290" s="257">
        <v>3449116.7</v>
      </c>
      <c r="J290" s="257">
        <v>234442.41</v>
      </c>
      <c r="K290" s="269">
        <v>1005289.04</v>
      </c>
      <c r="L290" s="270" t="s">
        <v>726</v>
      </c>
      <c r="M290" s="597"/>
    </row>
    <row r="291" spans="1:13" outlineLevel="1" x14ac:dyDescent="0.25">
      <c r="A291" s="332"/>
      <c r="B291" s="283" t="s">
        <v>67</v>
      </c>
      <c r="C291" s="724"/>
      <c r="D291" s="583"/>
      <c r="E291" s="202"/>
      <c r="F291" s="202"/>
      <c r="G291" s="265"/>
      <c r="H291" s="53"/>
      <c r="I291" s="11"/>
      <c r="J291" s="11"/>
      <c r="K291" s="106"/>
      <c r="L291" s="27"/>
    </row>
    <row r="292" spans="1:13" s="68" customFormat="1" ht="27.75" customHeight="1" x14ac:dyDescent="0.2">
      <c r="A292" s="330">
        <v>79</v>
      </c>
      <c r="B292" s="331" t="s">
        <v>474</v>
      </c>
      <c r="C292" s="532">
        <f>C293+C294+C295</f>
        <v>0</v>
      </c>
      <c r="D292" s="228">
        <f>E292+F292+G292</f>
        <v>0</v>
      </c>
      <c r="E292" s="532">
        <f t="shared" ref="E292:G292" si="184">E293+E294+E295</f>
        <v>0</v>
      </c>
      <c r="F292" s="532">
        <f t="shared" si="184"/>
        <v>0</v>
      </c>
      <c r="G292" s="532">
        <f t="shared" si="184"/>
        <v>0</v>
      </c>
      <c r="H292" s="228">
        <f>I292+J292+K292</f>
        <v>0</v>
      </c>
      <c r="I292" s="532">
        <f t="shared" ref="I292:K292" si="185">I293+I294+I295</f>
        <v>0</v>
      </c>
      <c r="J292" s="532">
        <f t="shared" si="185"/>
        <v>0</v>
      </c>
      <c r="K292" s="532">
        <f t="shared" si="185"/>
        <v>0</v>
      </c>
      <c r="L292" s="321"/>
      <c r="M292" s="652"/>
    </row>
    <row r="293" spans="1:13" outlineLevel="1" x14ac:dyDescent="0.25">
      <c r="A293" s="332"/>
      <c r="B293" s="16" t="s">
        <v>555</v>
      </c>
      <c r="C293" s="508"/>
      <c r="D293" s="53"/>
      <c r="E293" s="11"/>
      <c r="F293" s="11"/>
      <c r="G293" s="106"/>
      <c r="H293" s="53"/>
      <c r="I293" s="11"/>
      <c r="J293" s="11"/>
      <c r="K293" s="106"/>
      <c r="L293" s="27"/>
    </row>
    <row r="294" spans="1:13" outlineLevel="1" x14ac:dyDescent="0.25">
      <c r="A294" s="332"/>
      <c r="B294" s="16" t="s">
        <v>554</v>
      </c>
      <c r="C294" s="508"/>
      <c r="D294" s="53"/>
      <c r="E294" s="11"/>
      <c r="F294" s="11"/>
      <c r="G294" s="106"/>
      <c r="H294" s="53"/>
      <c r="I294" s="11"/>
      <c r="J294" s="11"/>
      <c r="K294" s="106"/>
      <c r="L294" s="27"/>
    </row>
    <row r="295" spans="1:13" outlineLevel="1" x14ac:dyDescent="0.25">
      <c r="A295" s="332"/>
      <c r="B295" s="16" t="s">
        <v>67</v>
      </c>
      <c r="C295" s="508"/>
      <c r="D295" s="53"/>
      <c r="E295" s="11"/>
      <c r="F295" s="11"/>
      <c r="G295" s="106"/>
      <c r="H295" s="53"/>
      <c r="I295" s="11"/>
      <c r="J295" s="11"/>
      <c r="K295" s="106"/>
      <c r="L295" s="27"/>
    </row>
    <row r="296" spans="1:13" s="68" customFormat="1" ht="27" customHeight="1" x14ac:dyDescent="0.2">
      <c r="A296" s="330">
        <v>80</v>
      </c>
      <c r="B296" s="331" t="s">
        <v>475</v>
      </c>
      <c r="C296" s="532">
        <f>C297+C298+C299</f>
        <v>0</v>
      </c>
      <c r="D296" s="228">
        <f>E296+F296+G296</f>
        <v>0</v>
      </c>
      <c r="E296" s="532">
        <f t="shared" ref="E296:G296" si="186">E297+E298+E299</f>
        <v>0</v>
      </c>
      <c r="F296" s="532">
        <f t="shared" si="186"/>
        <v>0</v>
      </c>
      <c r="G296" s="532">
        <f t="shared" si="186"/>
        <v>0</v>
      </c>
      <c r="H296" s="228">
        <f>I296+J296+K296</f>
        <v>0</v>
      </c>
      <c r="I296" s="532">
        <f t="shared" ref="I296:K296" si="187">I297+I298+I299</f>
        <v>0</v>
      </c>
      <c r="J296" s="532">
        <f t="shared" si="187"/>
        <v>0</v>
      </c>
      <c r="K296" s="532">
        <f t="shared" si="187"/>
        <v>0</v>
      </c>
      <c r="L296" s="321"/>
      <c r="M296" s="652"/>
    </row>
    <row r="297" spans="1:13" outlineLevel="1" x14ac:dyDescent="0.25">
      <c r="A297" s="332"/>
      <c r="B297" s="16" t="s">
        <v>555</v>
      </c>
      <c r="C297" s="508"/>
      <c r="D297" s="53"/>
      <c r="E297" s="11"/>
      <c r="F297" s="11"/>
      <c r="G297" s="106"/>
      <c r="H297" s="53"/>
      <c r="I297" s="11"/>
      <c r="J297" s="11"/>
      <c r="K297" s="106"/>
      <c r="L297" s="27"/>
    </row>
    <row r="298" spans="1:13" outlineLevel="1" x14ac:dyDescent="0.25">
      <c r="A298" s="332"/>
      <c r="B298" s="16" t="s">
        <v>554</v>
      </c>
      <c r="C298" s="508"/>
      <c r="D298" s="53"/>
      <c r="E298" s="11"/>
      <c r="F298" s="11"/>
      <c r="G298" s="106"/>
      <c r="H298" s="53"/>
      <c r="I298" s="11"/>
      <c r="J298" s="11"/>
      <c r="K298" s="106"/>
      <c r="L298" s="27"/>
    </row>
    <row r="299" spans="1:13" outlineLevel="1" x14ac:dyDescent="0.25">
      <c r="A299" s="332"/>
      <c r="B299" s="16" t="s">
        <v>67</v>
      </c>
      <c r="C299" s="508"/>
      <c r="D299" s="53"/>
      <c r="E299" s="11"/>
      <c r="F299" s="11"/>
      <c r="G299" s="106"/>
      <c r="H299" s="53"/>
      <c r="I299" s="11"/>
      <c r="J299" s="11"/>
      <c r="K299" s="106"/>
      <c r="L299" s="27"/>
    </row>
    <row r="300" spans="1:13" s="68" customFormat="1" ht="30" customHeight="1" x14ac:dyDescent="0.2">
      <c r="A300" s="330">
        <v>81</v>
      </c>
      <c r="B300" s="333" t="s">
        <v>476</v>
      </c>
      <c r="C300" s="532">
        <f>C301+C302+C303</f>
        <v>0</v>
      </c>
      <c r="D300" s="228">
        <f>E300+F300+G300</f>
        <v>0</v>
      </c>
      <c r="E300" s="532">
        <f t="shared" ref="E300:G300" si="188">E301+E302+E303</f>
        <v>0</v>
      </c>
      <c r="F300" s="532">
        <f t="shared" si="188"/>
        <v>0</v>
      </c>
      <c r="G300" s="532">
        <f t="shared" si="188"/>
        <v>0</v>
      </c>
      <c r="H300" s="228">
        <f>I300+J300+K300</f>
        <v>0</v>
      </c>
      <c r="I300" s="532">
        <f t="shared" ref="I300:K300" si="189">I301+I302+I303</f>
        <v>0</v>
      </c>
      <c r="J300" s="532">
        <f t="shared" si="189"/>
        <v>0</v>
      </c>
      <c r="K300" s="532">
        <f t="shared" si="189"/>
        <v>0</v>
      </c>
      <c r="L300" s="321"/>
      <c r="M300" s="652"/>
    </row>
    <row r="301" spans="1:13" outlineLevel="1" x14ac:dyDescent="0.25">
      <c r="A301" s="332"/>
      <c r="B301" s="16" t="s">
        <v>555</v>
      </c>
      <c r="C301" s="508"/>
      <c r="D301" s="53"/>
      <c r="E301" s="11"/>
      <c r="F301" s="11"/>
      <c r="G301" s="106"/>
      <c r="H301" s="53"/>
      <c r="I301" s="11"/>
      <c r="J301" s="11"/>
      <c r="K301" s="106"/>
      <c r="L301" s="27"/>
    </row>
    <row r="302" spans="1:13" outlineLevel="1" x14ac:dyDescent="0.25">
      <c r="A302" s="332"/>
      <c r="B302" s="16" t="s">
        <v>554</v>
      </c>
      <c r="C302" s="508"/>
      <c r="D302" s="53"/>
      <c r="E302" s="11"/>
      <c r="F302" s="11"/>
      <c r="G302" s="106"/>
      <c r="H302" s="53"/>
      <c r="I302" s="11"/>
      <c r="J302" s="11"/>
      <c r="K302" s="106"/>
      <c r="L302" s="27"/>
    </row>
    <row r="303" spans="1:13" outlineLevel="1" x14ac:dyDescent="0.25">
      <c r="A303" s="332"/>
      <c r="B303" s="16" t="s">
        <v>67</v>
      </c>
      <c r="C303" s="508"/>
      <c r="D303" s="53"/>
      <c r="E303" s="11"/>
      <c r="F303" s="11"/>
      <c r="G303" s="106"/>
      <c r="H303" s="53"/>
      <c r="I303" s="11"/>
      <c r="J303" s="11"/>
      <c r="K303" s="106"/>
      <c r="L303" s="27"/>
    </row>
    <row r="304" spans="1:13" s="68" customFormat="1" ht="37.5" customHeight="1" x14ac:dyDescent="0.2">
      <c r="A304" s="330">
        <v>82</v>
      </c>
      <c r="B304" s="333" t="s">
        <v>63</v>
      </c>
      <c r="C304" s="532">
        <f>C305+C306+C307</f>
        <v>0</v>
      </c>
      <c r="D304" s="228">
        <f>E304+F304+G304</f>
        <v>0</v>
      </c>
      <c r="E304" s="532">
        <f t="shared" ref="E304:G304" si="190">E305+E306+E307</f>
        <v>0</v>
      </c>
      <c r="F304" s="532">
        <f t="shared" si="190"/>
        <v>0</v>
      </c>
      <c r="G304" s="532">
        <f t="shared" si="190"/>
        <v>0</v>
      </c>
      <c r="H304" s="228">
        <f>I304+J304+K304</f>
        <v>0</v>
      </c>
      <c r="I304" s="532">
        <f t="shared" ref="I304:K304" si="191">I305+I306+I307</f>
        <v>0</v>
      </c>
      <c r="J304" s="532">
        <f t="shared" si="191"/>
        <v>0</v>
      </c>
      <c r="K304" s="532">
        <f t="shared" si="191"/>
        <v>0</v>
      </c>
      <c r="L304" s="321"/>
      <c r="M304" s="652"/>
    </row>
    <row r="305" spans="1:13" outlineLevel="1" x14ac:dyDescent="0.25">
      <c r="A305" s="332"/>
      <c r="B305" s="16" t="s">
        <v>64</v>
      </c>
      <c r="C305" s="508"/>
      <c r="D305" s="53"/>
      <c r="E305" s="11"/>
      <c r="F305" s="11"/>
      <c r="G305" s="106"/>
      <c r="H305" s="53"/>
      <c r="I305" s="11"/>
      <c r="J305" s="11"/>
      <c r="K305" s="106"/>
      <c r="L305" s="27"/>
    </row>
    <row r="306" spans="1:13" outlineLevel="1" x14ac:dyDescent="0.25">
      <c r="A306" s="332"/>
      <c r="B306" s="16" t="s">
        <v>554</v>
      </c>
      <c r="C306" s="508"/>
      <c r="D306" s="53"/>
      <c r="E306" s="11"/>
      <c r="F306" s="11"/>
      <c r="G306" s="106"/>
      <c r="H306" s="53"/>
      <c r="I306" s="11"/>
      <c r="J306" s="11"/>
      <c r="K306" s="106"/>
      <c r="L306" s="27"/>
    </row>
    <row r="307" spans="1:13" outlineLevel="1" x14ac:dyDescent="0.25">
      <c r="A307" s="332"/>
      <c r="B307" s="16" t="s">
        <v>67</v>
      </c>
      <c r="C307" s="508"/>
      <c r="D307" s="53"/>
      <c r="E307" s="11"/>
      <c r="F307" s="11"/>
      <c r="G307" s="106"/>
      <c r="H307" s="53"/>
      <c r="I307" s="11"/>
      <c r="J307" s="11"/>
      <c r="K307" s="106"/>
      <c r="L307" s="27"/>
    </row>
    <row r="308" spans="1:13" s="68" customFormat="1" ht="29.25" customHeight="1" x14ac:dyDescent="0.2">
      <c r="A308" s="330">
        <v>83</v>
      </c>
      <c r="B308" s="333" t="s">
        <v>610</v>
      </c>
      <c r="C308" s="532">
        <f>C309+C310+C311</f>
        <v>0</v>
      </c>
      <c r="D308" s="228">
        <f>E308+F308+G308</f>
        <v>0</v>
      </c>
      <c r="E308" s="532">
        <f t="shared" ref="E308:G308" si="192">E309+E310+E311</f>
        <v>0</v>
      </c>
      <c r="F308" s="532">
        <f t="shared" si="192"/>
        <v>0</v>
      </c>
      <c r="G308" s="532">
        <f t="shared" si="192"/>
        <v>0</v>
      </c>
      <c r="H308" s="228">
        <f>I308+J308+K308</f>
        <v>0</v>
      </c>
      <c r="I308" s="532">
        <f t="shared" ref="I308:K308" si="193">I309+I310+I311</f>
        <v>0</v>
      </c>
      <c r="J308" s="532">
        <f t="shared" si="193"/>
        <v>0</v>
      </c>
      <c r="K308" s="532">
        <f t="shared" si="193"/>
        <v>0</v>
      </c>
      <c r="L308" s="321"/>
      <c r="M308" s="652"/>
    </row>
    <row r="309" spans="1:13" outlineLevel="1" x14ac:dyDescent="0.25">
      <c r="A309" s="332"/>
      <c r="B309" s="16" t="s">
        <v>557</v>
      </c>
      <c r="C309" s="508"/>
      <c r="D309" s="53"/>
      <c r="E309" s="11"/>
      <c r="F309" s="11"/>
      <c r="G309" s="106"/>
      <c r="H309" s="53"/>
      <c r="I309" s="11"/>
      <c r="J309" s="11"/>
      <c r="K309" s="106"/>
      <c r="L309" s="27"/>
    </row>
    <row r="310" spans="1:13" outlineLevel="1" x14ac:dyDescent="0.25">
      <c r="A310" s="332"/>
      <c r="B310" s="16" t="s">
        <v>554</v>
      </c>
      <c r="C310" s="508"/>
      <c r="D310" s="53"/>
      <c r="E310" s="11"/>
      <c r="F310" s="11"/>
      <c r="G310" s="106"/>
      <c r="H310" s="53"/>
      <c r="I310" s="11"/>
      <c r="J310" s="11"/>
      <c r="K310" s="106"/>
      <c r="L310" s="27"/>
    </row>
    <row r="311" spans="1:13" outlineLevel="1" x14ac:dyDescent="0.25">
      <c r="A311" s="332"/>
      <c r="B311" s="16" t="s">
        <v>67</v>
      </c>
      <c r="C311" s="508"/>
      <c r="D311" s="53"/>
      <c r="E311" s="11"/>
      <c r="F311" s="11"/>
      <c r="G311" s="106"/>
      <c r="H311" s="53"/>
      <c r="I311" s="11"/>
      <c r="J311" s="11"/>
      <c r="K311" s="106"/>
      <c r="L311" s="27"/>
    </row>
    <row r="312" spans="1:13" s="68" customFormat="1" ht="27.75" customHeight="1" x14ac:dyDescent="0.2">
      <c r="A312" s="330">
        <v>84</v>
      </c>
      <c r="B312" s="333" t="s">
        <v>477</v>
      </c>
      <c r="C312" s="510">
        <f>SUM(C313:C316)</f>
        <v>4559684.74</v>
      </c>
      <c r="D312" s="40">
        <f>E312+F312+G312</f>
        <v>4559684.74</v>
      </c>
      <c r="E312" s="75">
        <f>SUM(E313:E316)</f>
        <v>3354104.0947440001</v>
      </c>
      <c r="F312" s="75">
        <f t="shared" ref="F312:G312" si="194">SUM(F313:F316)</f>
        <v>227984.23700000002</v>
      </c>
      <c r="G312" s="75">
        <f t="shared" si="194"/>
        <v>977596.40825600014</v>
      </c>
      <c r="H312" s="40">
        <f>I312+J312+K312</f>
        <v>4559684.74</v>
      </c>
      <c r="I312" s="75">
        <f>SUM(I313:I316)</f>
        <v>3354104.09</v>
      </c>
      <c r="J312" s="75">
        <f t="shared" ref="J312:K312" si="195">SUM(J313:J316)</f>
        <v>227984.24</v>
      </c>
      <c r="K312" s="75">
        <f t="shared" si="195"/>
        <v>977596.41</v>
      </c>
      <c r="L312" s="321"/>
      <c r="M312" s="652"/>
    </row>
    <row r="313" spans="1:13" outlineLevel="1" x14ac:dyDescent="0.25">
      <c r="A313" s="332"/>
      <c r="B313" s="283" t="s">
        <v>68</v>
      </c>
      <c r="C313" s="724"/>
      <c r="D313" s="583"/>
      <c r="E313" s="202"/>
      <c r="F313" s="202"/>
      <c r="G313" s="265"/>
      <c r="H313" s="53"/>
      <c r="I313" s="11"/>
      <c r="J313" s="11"/>
      <c r="K313" s="106"/>
      <c r="L313" s="27"/>
    </row>
    <row r="314" spans="1:13" s="364" customFormat="1" ht="15" customHeight="1" outlineLevel="1" x14ac:dyDescent="0.25">
      <c r="A314" s="246"/>
      <c r="B314" s="248" t="s">
        <v>555</v>
      </c>
      <c r="C314" s="509">
        <f>4081906.28+69629.44+408149.02</f>
        <v>4559684.74</v>
      </c>
      <c r="D314" s="249">
        <f t="shared" ref="D314" si="196">E314+F314+G314</f>
        <v>4559684.74</v>
      </c>
      <c r="E314" s="250">
        <f>C314*0.7356</f>
        <v>3354104.0947440001</v>
      </c>
      <c r="F314" s="250">
        <f>C314*5%</f>
        <v>227984.23700000002</v>
      </c>
      <c r="G314" s="251">
        <f>C314-E314-F314</f>
        <v>977596.40825600014</v>
      </c>
      <c r="H314" s="316">
        <f>I314+J314+K314</f>
        <v>4559684.74</v>
      </c>
      <c r="I314" s="257">
        <v>3354104.09</v>
      </c>
      <c r="J314" s="257">
        <v>227984.24</v>
      </c>
      <c r="K314" s="269">
        <v>977596.41</v>
      </c>
      <c r="L314" s="270" t="s">
        <v>658</v>
      </c>
      <c r="M314" s="597"/>
    </row>
    <row r="315" spans="1:13" ht="15" customHeight="1" outlineLevel="1" x14ac:dyDescent="0.25">
      <c r="A315" s="332"/>
      <c r="B315" s="283" t="s">
        <v>554</v>
      </c>
      <c r="C315" s="724"/>
      <c r="D315" s="583"/>
      <c r="E315" s="202"/>
      <c r="F315" s="202"/>
      <c r="G315" s="265"/>
      <c r="H315" s="53"/>
      <c r="I315" s="11"/>
      <c r="J315" s="11"/>
      <c r="K315" s="106"/>
      <c r="L315" s="27"/>
    </row>
    <row r="316" spans="1:13" ht="19.5" customHeight="1" outlineLevel="1" x14ac:dyDescent="0.25">
      <c r="A316" s="332"/>
      <c r="B316" s="283" t="s">
        <v>67</v>
      </c>
      <c r="C316" s="724"/>
      <c r="D316" s="583"/>
      <c r="E316" s="202"/>
      <c r="F316" s="202"/>
      <c r="G316" s="265"/>
      <c r="H316" s="53"/>
      <c r="I316" s="11"/>
      <c r="J316" s="11"/>
      <c r="K316" s="106"/>
      <c r="L316" s="27"/>
    </row>
    <row r="317" spans="1:13" s="68" customFormat="1" ht="19.5" customHeight="1" x14ac:dyDescent="0.2">
      <c r="A317" s="330">
        <v>85</v>
      </c>
      <c r="B317" s="333" t="s">
        <v>478</v>
      </c>
      <c r="C317" s="532">
        <f>C318+C319+C320</f>
        <v>0</v>
      </c>
      <c r="D317" s="228">
        <f>E317+F317+G317</f>
        <v>0</v>
      </c>
      <c r="E317" s="532">
        <f t="shared" ref="E317:G317" si="197">E318+E319+E320</f>
        <v>0</v>
      </c>
      <c r="F317" s="532">
        <f t="shared" si="197"/>
        <v>0</v>
      </c>
      <c r="G317" s="532">
        <f t="shared" si="197"/>
        <v>0</v>
      </c>
      <c r="H317" s="228">
        <f>I317+J317+K317</f>
        <v>0</v>
      </c>
      <c r="I317" s="532">
        <f t="shared" ref="I317:K317" si="198">I318+I319+I320</f>
        <v>0</v>
      </c>
      <c r="J317" s="532">
        <f t="shared" si="198"/>
        <v>0</v>
      </c>
      <c r="K317" s="532">
        <f t="shared" si="198"/>
        <v>0</v>
      </c>
      <c r="L317" s="321"/>
      <c r="M317" s="652"/>
    </row>
    <row r="318" spans="1:13" outlineLevel="1" x14ac:dyDescent="0.25">
      <c r="A318" s="332"/>
      <c r="B318" s="16" t="s">
        <v>555</v>
      </c>
      <c r="C318" s="508"/>
      <c r="D318" s="53"/>
      <c r="E318" s="11"/>
      <c r="F318" s="11"/>
      <c r="G318" s="106"/>
      <c r="H318" s="53"/>
      <c r="I318" s="11"/>
      <c r="J318" s="11"/>
      <c r="K318" s="106"/>
      <c r="L318" s="27"/>
    </row>
    <row r="319" spans="1:13" outlineLevel="1" x14ac:dyDescent="0.25">
      <c r="A319" s="332"/>
      <c r="B319" s="16" t="s">
        <v>554</v>
      </c>
      <c r="C319" s="508"/>
      <c r="D319" s="53"/>
      <c r="E319" s="11"/>
      <c r="F319" s="11"/>
      <c r="G319" s="106"/>
      <c r="H319" s="53"/>
      <c r="I319" s="11"/>
      <c r="J319" s="11"/>
      <c r="K319" s="106"/>
      <c r="L319" s="27"/>
    </row>
    <row r="320" spans="1:13" outlineLevel="1" x14ac:dyDescent="0.25">
      <c r="A320" s="332"/>
      <c r="B320" s="16" t="s">
        <v>67</v>
      </c>
      <c r="C320" s="508"/>
      <c r="D320" s="53"/>
      <c r="E320" s="11"/>
      <c r="F320" s="11"/>
      <c r="G320" s="106"/>
      <c r="H320" s="53"/>
      <c r="I320" s="11"/>
      <c r="J320" s="11"/>
      <c r="K320" s="106"/>
      <c r="L320" s="27"/>
    </row>
    <row r="321" spans="1:13" s="68" customFormat="1" ht="37.5" customHeight="1" x14ac:dyDescent="0.2">
      <c r="A321" s="330">
        <v>86</v>
      </c>
      <c r="B321" s="333" t="s">
        <v>479</v>
      </c>
      <c r="C321" s="532">
        <f>C322+C323+C324</f>
        <v>0</v>
      </c>
      <c r="D321" s="228">
        <f>E321+F321+G321</f>
        <v>0</v>
      </c>
      <c r="E321" s="532">
        <f t="shared" ref="E321:G321" si="199">E322+E323+E324</f>
        <v>0</v>
      </c>
      <c r="F321" s="532">
        <f t="shared" si="199"/>
        <v>0</v>
      </c>
      <c r="G321" s="532">
        <f t="shared" si="199"/>
        <v>0</v>
      </c>
      <c r="H321" s="228">
        <f>I321+J321+K321</f>
        <v>0</v>
      </c>
      <c r="I321" s="532">
        <f t="shared" ref="I321:K321" si="200">I322+I323+I324</f>
        <v>0</v>
      </c>
      <c r="J321" s="532">
        <f t="shared" si="200"/>
        <v>0</v>
      </c>
      <c r="K321" s="532">
        <f t="shared" si="200"/>
        <v>0</v>
      </c>
      <c r="L321" s="321"/>
      <c r="M321" s="652"/>
    </row>
    <row r="322" spans="1:13" outlineLevel="1" x14ac:dyDescent="0.25">
      <c r="A322" s="332"/>
      <c r="B322" s="16" t="s">
        <v>557</v>
      </c>
      <c r="C322" s="508"/>
      <c r="D322" s="53"/>
      <c r="E322" s="11"/>
      <c r="F322" s="11"/>
      <c r="G322" s="106"/>
      <c r="H322" s="53"/>
      <c r="I322" s="11"/>
      <c r="J322" s="11"/>
      <c r="K322" s="106"/>
      <c r="L322" s="27"/>
    </row>
    <row r="323" spans="1:13" outlineLevel="1" x14ac:dyDescent="0.25">
      <c r="A323" s="332"/>
      <c r="B323" s="16" t="s">
        <v>554</v>
      </c>
      <c r="C323" s="508"/>
      <c r="D323" s="53"/>
      <c r="E323" s="11"/>
      <c r="F323" s="11"/>
      <c r="G323" s="106"/>
      <c r="H323" s="53"/>
      <c r="I323" s="11"/>
      <c r="J323" s="11"/>
      <c r="K323" s="106"/>
      <c r="L323" s="27"/>
    </row>
    <row r="324" spans="1:13" outlineLevel="1" x14ac:dyDescent="0.25">
      <c r="A324" s="332"/>
      <c r="B324" s="16" t="s">
        <v>67</v>
      </c>
      <c r="C324" s="508"/>
      <c r="D324" s="53"/>
      <c r="E324" s="11"/>
      <c r="F324" s="11"/>
      <c r="G324" s="106"/>
      <c r="H324" s="53"/>
      <c r="I324" s="11"/>
      <c r="J324" s="11"/>
      <c r="K324" s="106"/>
      <c r="L324" s="27"/>
    </row>
    <row r="325" spans="1:13" s="68" customFormat="1" ht="18.75" customHeight="1" x14ac:dyDescent="0.2">
      <c r="A325" s="330">
        <v>87</v>
      </c>
      <c r="B325" s="333" t="s">
        <v>480</v>
      </c>
      <c r="C325" s="84">
        <f>C326+C327</f>
        <v>6310937.3600000003</v>
      </c>
      <c r="D325" s="228">
        <f>E325+F325+G325</f>
        <v>6310937.3600000003</v>
      </c>
      <c r="E325" s="201">
        <f>E326+E327</f>
        <v>4939633.78</v>
      </c>
      <c r="F325" s="201">
        <f t="shared" ref="F325:G325" si="201">F326+F327</f>
        <v>315546.87</v>
      </c>
      <c r="G325" s="201">
        <f t="shared" si="201"/>
        <v>1055756.71</v>
      </c>
      <c r="H325" s="228">
        <f>I325+J325+K325</f>
        <v>6310937.3600000003</v>
      </c>
      <c r="I325" s="201">
        <f>SUM(I326:I327)</f>
        <v>4939633.78</v>
      </c>
      <c r="J325" s="201">
        <f t="shared" ref="J325:K325" si="202">SUM(J326:J327)</f>
        <v>315546.87</v>
      </c>
      <c r="K325" s="201">
        <f t="shared" si="202"/>
        <v>1055756.71</v>
      </c>
      <c r="L325" s="321"/>
      <c r="M325" s="652"/>
    </row>
    <row r="326" spans="1:13" s="364" customFormat="1" outlineLevel="1" x14ac:dyDescent="0.25">
      <c r="A326" s="246"/>
      <c r="B326" s="248" t="s">
        <v>555</v>
      </c>
      <c r="C326" s="509">
        <v>6310937.3600000003</v>
      </c>
      <c r="D326" s="316">
        <f>SUM(E326:G326)</f>
        <v>6310937.3600000003</v>
      </c>
      <c r="E326" s="257">
        <v>4939633.78</v>
      </c>
      <c r="F326" s="257">
        <v>315546.87</v>
      </c>
      <c r="G326" s="269">
        <v>1055756.71</v>
      </c>
      <c r="H326" s="316">
        <f>SUM(I326:K326)</f>
        <v>6310937.3600000003</v>
      </c>
      <c r="I326" s="257">
        <v>4939633.78</v>
      </c>
      <c r="J326" s="257">
        <v>315546.87</v>
      </c>
      <c r="K326" s="269">
        <v>1055756.71</v>
      </c>
      <c r="L326" s="270" t="s">
        <v>828</v>
      </c>
      <c r="M326" s="597">
        <v>42618</v>
      </c>
    </row>
    <row r="327" spans="1:13" outlineLevel="1" x14ac:dyDescent="0.25">
      <c r="A327" s="332"/>
      <c r="B327" s="16" t="s">
        <v>67</v>
      </c>
      <c r="C327" s="508"/>
      <c r="D327" s="53"/>
      <c r="E327" s="11"/>
      <c r="F327" s="11"/>
      <c r="G327" s="106"/>
      <c r="H327" s="53"/>
      <c r="I327" s="11"/>
      <c r="J327" s="11"/>
      <c r="K327" s="106"/>
      <c r="L327" s="27"/>
    </row>
    <row r="328" spans="1:13" s="68" customFormat="1" ht="30.75" customHeight="1" x14ac:dyDescent="0.2">
      <c r="A328" s="330">
        <v>88</v>
      </c>
      <c r="B328" s="333" t="s">
        <v>481</v>
      </c>
      <c r="C328" s="532">
        <f>C329+C330+C331</f>
        <v>0</v>
      </c>
      <c r="D328" s="228">
        <f>E328+F328+G328</f>
        <v>0</v>
      </c>
      <c r="E328" s="532">
        <f t="shared" ref="E328:G328" si="203">E329+E330+E331</f>
        <v>0</v>
      </c>
      <c r="F328" s="532">
        <f t="shared" si="203"/>
        <v>0</v>
      </c>
      <c r="G328" s="532">
        <f t="shared" si="203"/>
        <v>0</v>
      </c>
      <c r="H328" s="228">
        <f>I328+J328+K328</f>
        <v>0</v>
      </c>
      <c r="I328" s="532">
        <f t="shared" ref="I328:K328" si="204">I329+I330+I331</f>
        <v>0</v>
      </c>
      <c r="J328" s="532">
        <f t="shared" si="204"/>
        <v>0</v>
      </c>
      <c r="K328" s="532">
        <f t="shared" si="204"/>
        <v>0</v>
      </c>
      <c r="L328" s="321"/>
      <c r="M328" s="652"/>
    </row>
    <row r="329" spans="1:13" outlineLevel="1" x14ac:dyDescent="0.25">
      <c r="A329" s="332"/>
      <c r="B329" s="16" t="s">
        <v>557</v>
      </c>
      <c r="C329" s="508"/>
      <c r="D329" s="53"/>
      <c r="E329" s="11"/>
      <c r="F329" s="11"/>
      <c r="G329" s="106"/>
      <c r="H329" s="53"/>
      <c r="I329" s="11"/>
      <c r="J329" s="11"/>
      <c r="K329" s="106"/>
      <c r="L329" s="27"/>
    </row>
    <row r="330" spans="1:13" outlineLevel="1" x14ac:dyDescent="0.25">
      <c r="A330" s="332"/>
      <c r="B330" s="16" t="s">
        <v>554</v>
      </c>
      <c r="C330" s="508"/>
      <c r="D330" s="53"/>
      <c r="E330" s="11"/>
      <c r="F330" s="11"/>
      <c r="G330" s="106"/>
      <c r="H330" s="53"/>
      <c r="I330" s="11"/>
      <c r="J330" s="11"/>
      <c r="K330" s="106"/>
      <c r="L330" s="27"/>
    </row>
    <row r="331" spans="1:13" outlineLevel="1" x14ac:dyDescent="0.25">
      <c r="A331" s="332"/>
      <c r="B331" s="16" t="s">
        <v>67</v>
      </c>
      <c r="C331" s="508"/>
      <c r="D331" s="53"/>
      <c r="E331" s="11"/>
      <c r="F331" s="11"/>
      <c r="G331" s="106"/>
      <c r="H331" s="53"/>
      <c r="I331" s="11"/>
      <c r="J331" s="11"/>
      <c r="K331" s="106"/>
      <c r="L331" s="27"/>
    </row>
    <row r="332" spans="1:13" s="68" customFormat="1" ht="34.5" customHeight="1" x14ac:dyDescent="0.2">
      <c r="A332" s="330">
        <v>89</v>
      </c>
      <c r="B332" s="333" t="s">
        <v>482</v>
      </c>
      <c r="C332" s="532">
        <f>C333+C334+C335</f>
        <v>96166.81</v>
      </c>
      <c r="D332" s="228">
        <f>E332+F332+G332</f>
        <v>96166.81</v>
      </c>
      <c r="E332" s="532">
        <f t="shared" ref="E332" si="205">E333+E334+E335</f>
        <v>65112.6237148</v>
      </c>
      <c r="F332" s="532">
        <f t="shared" ref="F332" si="206">F333+F334+F335</f>
        <v>4808.3405000000002</v>
      </c>
      <c r="G332" s="532">
        <f t="shared" ref="G332" si="207">G333+G334+G335</f>
        <v>26245.845785199999</v>
      </c>
      <c r="H332" s="228">
        <f>I332+J332+K332</f>
        <v>96166.81</v>
      </c>
      <c r="I332" s="532">
        <f t="shared" ref="I332" si="208">I333+I334+I335</f>
        <v>65112.62</v>
      </c>
      <c r="J332" s="532">
        <f t="shared" ref="J332" si="209">J333+J334+J335</f>
        <v>4808.34</v>
      </c>
      <c r="K332" s="532">
        <f t="shared" ref="K332" si="210">K333+K334+K335</f>
        <v>26245.85</v>
      </c>
      <c r="L332" s="321"/>
      <c r="M332" s="652"/>
    </row>
    <row r="333" spans="1:13" outlineLevel="1" x14ac:dyDescent="0.25">
      <c r="A333" s="332"/>
      <c r="B333" s="16" t="s">
        <v>555</v>
      </c>
      <c r="C333" s="508"/>
      <c r="D333" s="53"/>
      <c r="E333" s="11"/>
      <c r="F333" s="11"/>
      <c r="G333" s="106"/>
      <c r="H333" s="53"/>
      <c r="I333" s="11"/>
      <c r="J333" s="11"/>
      <c r="K333" s="106"/>
      <c r="L333" s="27"/>
    </row>
    <row r="334" spans="1:13" outlineLevel="1" x14ac:dyDescent="0.25">
      <c r="A334" s="332"/>
      <c r="B334" s="16" t="s">
        <v>554</v>
      </c>
      <c r="C334" s="508"/>
      <c r="D334" s="53"/>
      <c r="E334" s="11"/>
      <c r="F334" s="11"/>
      <c r="G334" s="106"/>
      <c r="H334" s="53"/>
      <c r="I334" s="11"/>
      <c r="J334" s="11"/>
      <c r="K334" s="106"/>
      <c r="L334" s="27"/>
    </row>
    <row r="335" spans="1:13" s="364" customFormat="1" outlineLevel="1" x14ac:dyDescent="0.25">
      <c r="A335" s="246"/>
      <c r="B335" s="248" t="s">
        <v>67</v>
      </c>
      <c r="C335" s="509">
        <v>96166.81</v>
      </c>
      <c r="D335" s="316">
        <f>E335+F335+G335</f>
        <v>96166.81</v>
      </c>
      <c r="E335" s="257">
        <f>C335*0.67708</f>
        <v>65112.6237148</v>
      </c>
      <c r="F335" s="257">
        <f>C335*0.05</f>
        <v>4808.3405000000002</v>
      </c>
      <c r="G335" s="269">
        <f>C335-E335-F335</f>
        <v>26245.845785199999</v>
      </c>
      <c r="H335" s="316">
        <f>SUM(I335:K335)</f>
        <v>96166.81</v>
      </c>
      <c r="I335" s="257">
        <v>65112.62</v>
      </c>
      <c r="J335" s="257">
        <v>4808.34</v>
      </c>
      <c r="K335" s="269">
        <v>26245.85</v>
      </c>
      <c r="L335" s="270" t="s">
        <v>822</v>
      </c>
      <c r="M335" s="597">
        <v>42495</v>
      </c>
    </row>
    <row r="336" spans="1:13" s="68" customFormat="1" ht="23.25" customHeight="1" x14ac:dyDescent="0.2">
      <c r="A336" s="330">
        <v>90</v>
      </c>
      <c r="B336" s="333" t="s">
        <v>483</v>
      </c>
      <c r="C336" s="532">
        <f>C337+C338+C339</f>
        <v>99439.47</v>
      </c>
      <c r="D336" s="228">
        <f>E336+F336+G336</f>
        <v>99439.47</v>
      </c>
      <c r="E336" s="532">
        <f t="shared" ref="E336" si="211">E337+E338+E339</f>
        <v>67328.476347600008</v>
      </c>
      <c r="F336" s="532">
        <f t="shared" ref="F336" si="212">F337+F338+F339</f>
        <v>4971.9735000000001</v>
      </c>
      <c r="G336" s="532">
        <f t="shared" ref="G336" si="213">G337+G338+G339</f>
        <v>27139.020152399993</v>
      </c>
      <c r="H336" s="228">
        <f>I336+J336+K336</f>
        <v>99439.47</v>
      </c>
      <c r="I336" s="532">
        <f t="shared" ref="I336" si="214">I337+I338+I339</f>
        <v>67328.479999999996</v>
      </c>
      <c r="J336" s="532">
        <f t="shared" ref="J336" si="215">J337+J338+J339</f>
        <v>4971.97</v>
      </c>
      <c r="K336" s="532">
        <f t="shared" ref="K336" si="216">K337+K338+K339</f>
        <v>27139.02</v>
      </c>
      <c r="L336" s="321"/>
      <c r="M336" s="652"/>
    </row>
    <row r="337" spans="1:13" outlineLevel="1" x14ac:dyDescent="0.25">
      <c r="A337" s="332"/>
      <c r="B337" s="16" t="s">
        <v>555</v>
      </c>
      <c r="C337" s="508"/>
      <c r="D337" s="53"/>
      <c r="E337" s="11"/>
      <c r="F337" s="11"/>
      <c r="G337" s="106"/>
      <c r="H337" s="53"/>
      <c r="I337" s="11"/>
      <c r="J337" s="11"/>
      <c r="K337" s="106"/>
      <c r="L337" s="27"/>
    </row>
    <row r="338" spans="1:13" outlineLevel="1" x14ac:dyDescent="0.25">
      <c r="A338" s="332"/>
      <c r="B338" s="16" t="s">
        <v>554</v>
      </c>
      <c r="C338" s="508"/>
      <c r="D338" s="53"/>
      <c r="E338" s="11"/>
      <c r="F338" s="11"/>
      <c r="G338" s="106"/>
      <c r="H338" s="53"/>
      <c r="I338" s="11"/>
      <c r="J338" s="11"/>
      <c r="K338" s="106"/>
      <c r="L338" s="27"/>
    </row>
    <row r="339" spans="1:13" s="364" customFormat="1" outlineLevel="1" x14ac:dyDescent="0.25">
      <c r="A339" s="246"/>
      <c r="B339" s="248" t="s">
        <v>67</v>
      </c>
      <c r="C339" s="509">
        <v>99439.47</v>
      </c>
      <c r="D339" s="316">
        <f>E339+F339+G339</f>
        <v>99439.47</v>
      </c>
      <c r="E339" s="257">
        <f>C339*0.67708</f>
        <v>67328.476347600008</v>
      </c>
      <c r="F339" s="257">
        <f>C339*0.05</f>
        <v>4971.9735000000001</v>
      </c>
      <c r="G339" s="269">
        <f>C339-E339-F339</f>
        <v>27139.020152399993</v>
      </c>
      <c r="H339" s="316">
        <f>SUM(I339:K339)</f>
        <v>99439.47</v>
      </c>
      <c r="I339" s="257">
        <v>67328.479999999996</v>
      </c>
      <c r="J339" s="257">
        <v>4971.97</v>
      </c>
      <c r="K339" s="269">
        <v>27139.02</v>
      </c>
      <c r="L339" s="270" t="s">
        <v>822</v>
      </c>
      <c r="M339" s="597">
        <v>42495</v>
      </c>
    </row>
    <row r="340" spans="1:13" s="68" customFormat="1" ht="30" customHeight="1" x14ac:dyDescent="0.2">
      <c r="A340" s="330">
        <v>91</v>
      </c>
      <c r="B340" s="333" t="s">
        <v>611</v>
      </c>
      <c r="C340" s="532">
        <f>C341+C342+C343</f>
        <v>0</v>
      </c>
      <c r="D340" s="228">
        <f>E340+F340+G340</f>
        <v>0</v>
      </c>
      <c r="E340" s="532">
        <f t="shared" ref="E340:G340" si="217">E341+E342+E343</f>
        <v>0</v>
      </c>
      <c r="F340" s="532">
        <f t="shared" si="217"/>
        <v>0</v>
      </c>
      <c r="G340" s="532">
        <f t="shared" si="217"/>
        <v>0</v>
      </c>
      <c r="H340" s="228">
        <f>I340+J340+K340</f>
        <v>0</v>
      </c>
      <c r="I340" s="532">
        <f t="shared" ref="I340:K340" si="218">I341+I342+I343</f>
        <v>0</v>
      </c>
      <c r="J340" s="532">
        <f t="shared" si="218"/>
        <v>0</v>
      </c>
      <c r="K340" s="532">
        <f t="shared" si="218"/>
        <v>0</v>
      </c>
      <c r="L340" s="321"/>
      <c r="M340" s="652"/>
    </row>
    <row r="341" spans="1:13" outlineLevel="1" x14ac:dyDescent="0.25">
      <c r="A341" s="332"/>
      <c r="B341" s="16" t="s">
        <v>555</v>
      </c>
      <c r="C341" s="508"/>
      <c r="D341" s="53"/>
      <c r="E341" s="11"/>
      <c r="F341" s="11"/>
      <c r="G341" s="106"/>
      <c r="H341" s="53"/>
      <c r="I341" s="11"/>
      <c r="J341" s="11"/>
      <c r="K341" s="106"/>
      <c r="L341" s="27"/>
    </row>
    <row r="342" spans="1:13" outlineLevel="1" x14ac:dyDescent="0.25">
      <c r="A342" s="332"/>
      <c r="B342" s="16" t="s">
        <v>554</v>
      </c>
      <c r="C342" s="508"/>
      <c r="D342" s="53"/>
      <c r="E342" s="11"/>
      <c r="F342" s="11"/>
      <c r="G342" s="106"/>
      <c r="H342" s="53"/>
      <c r="I342" s="11"/>
      <c r="J342" s="11"/>
      <c r="K342" s="106"/>
      <c r="L342" s="27"/>
    </row>
    <row r="343" spans="1:13" outlineLevel="1" x14ac:dyDescent="0.25">
      <c r="A343" s="332"/>
      <c r="B343" s="16" t="s">
        <v>67</v>
      </c>
      <c r="C343" s="508"/>
      <c r="D343" s="53"/>
      <c r="E343" s="11"/>
      <c r="F343" s="11"/>
      <c r="G343" s="106"/>
      <c r="H343" s="53"/>
      <c r="I343" s="11"/>
      <c r="J343" s="11"/>
      <c r="K343" s="106"/>
      <c r="L343" s="27"/>
    </row>
    <row r="344" spans="1:13" s="68" customFormat="1" ht="39.75" customHeight="1" x14ac:dyDescent="0.2">
      <c r="A344" s="330">
        <v>92</v>
      </c>
      <c r="B344" s="333" t="s">
        <v>484</v>
      </c>
      <c r="C344" s="532">
        <f>C345+C346+C347</f>
        <v>92207.08</v>
      </c>
      <c r="D344" s="228">
        <f>E344+F344+G344</f>
        <v>92207.080000000016</v>
      </c>
      <c r="E344" s="532">
        <f t="shared" ref="E344" si="219">E345+E346+E347</f>
        <v>62431.569726400005</v>
      </c>
      <c r="F344" s="532">
        <f t="shared" ref="F344" si="220">F345+F346+F347</f>
        <v>4610.3540000000003</v>
      </c>
      <c r="G344" s="532">
        <f t="shared" ref="G344" si="221">G345+G346+G347</f>
        <v>25165.156273599998</v>
      </c>
      <c r="H344" s="228">
        <f>I344+J344+K344</f>
        <v>92207.08</v>
      </c>
      <c r="I344" s="532">
        <f t="shared" ref="I344" si="222">I345+I346+I347</f>
        <v>62431.57</v>
      </c>
      <c r="J344" s="532">
        <f t="shared" ref="J344" si="223">J345+J346+J347</f>
        <v>4610.3500000000004</v>
      </c>
      <c r="K344" s="532">
        <f t="shared" ref="K344" si="224">K345+K346+K347</f>
        <v>25165.16</v>
      </c>
      <c r="L344" s="321"/>
      <c r="M344" s="652"/>
    </row>
    <row r="345" spans="1:13" outlineLevel="1" x14ac:dyDescent="0.25">
      <c r="A345" s="332"/>
      <c r="B345" s="16" t="s">
        <v>555</v>
      </c>
      <c r="C345" s="508"/>
      <c r="D345" s="53"/>
      <c r="E345" s="11"/>
      <c r="F345" s="11"/>
      <c r="G345" s="106"/>
      <c r="H345" s="53"/>
      <c r="I345" s="11"/>
      <c r="J345" s="11"/>
      <c r="K345" s="106"/>
      <c r="L345" s="27"/>
    </row>
    <row r="346" spans="1:13" outlineLevel="1" x14ac:dyDescent="0.25">
      <c r="A346" s="332"/>
      <c r="B346" s="16" t="s">
        <v>554</v>
      </c>
      <c r="C346" s="508"/>
      <c r="D346" s="53"/>
      <c r="E346" s="11"/>
      <c r="F346" s="11"/>
      <c r="G346" s="106"/>
      <c r="H346" s="53"/>
      <c r="I346" s="11"/>
      <c r="J346" s="11"/>
      <c r="K346" s="106"/>
      <c r="L346" s="27"/>
    </row>
    <row r="347" spans="1:13" s="364" customFormat="1" outlineLevel="1" x14ac:dyDescent="0.25">
      <c r="A347" s="246"/>
      <c r="B347" s="248" t="s">
        <v>67</v>
      </c>
      <c r="C347" s="509">
        <v>92207.08</v>
      </c>
      <c r="D347" s="316">
        <f>E347+F347+G347</f>
        <v>92207.080000000016</v>
      </c>
      <c r="E347" s="257">
        <f>C347*0.67708</f>
        <v>62431.569726400005</v>
      </c>
      <c r="F347" s="257">
        <f>C347*0.05</f>
        <v>4610.3540000000003</v>
      </c>
      <c r="G347" s="269">
        <f>C347-E347-F347</f>
        <v>25165.156273599998</v>
      </c>
      <c r="H347" s="316">
        <f>SUM(I347:K347)</f>
        <v>92207.08</v>
      </c>
      <c r="I347" s="257">
        <v>62431.57</v>
      </c>
      <c r="J347" s="257">
        <v>4610.3500000000004</v>
      </c>
      <c r="K347" s="269">
        <v>25165.16</v>
      </c>
      <c r="L347" s="270" t="s">
        <v>822</v>
      </c>
      <c r="M347" s="597">
        <v>42495</v>
      </c>
    </row>
    <row r="348" spans="1:13" s="68" customFormat="1" ht="33" customHeight="1" x14ac:dyDescent="0.2">
      <c r="A348" s="330">
        <v>93</v>
      </c>
      <c r="B348" s="333" t="s">
        <v>485</v>
      </c>
      <c r="C348" s="532">
        <f>C349+C350+C351</f>
        <v>67266.05</v>
      </c>
      <c r="D348" s="228">
        <f>E348+F348+G348</f>
        <v>67266.05</v>
      </c>
      <c r="E348" s="532">
        <f t="shared" ref="E348" si="225">E349+E350+E351</f>
        <v>45544.497134000005</v>
      </c>
      <c r="F348" s="532">
        <f t="shared" ref="F348" si="226">F349+F350+F351</f>
        <v>3363.3025000000002</v>
      </c>
      <c r="G348" s="532">
        <f t="shared" ref="G348" si="227">G349+G350+G351</f>
        <v>18358.250365999997</v>
      </c>
      <c r="H348" s="228">
        <f>I348+J348+K348</f>
        <v>67266.05</v>
      </c>
      <c r="I348" s="532">
        <f t="shared" ref="I348" si="228">I349+I350+I351</f>
        <v>45544.5</v>
      </c>
      <c r="J348" s="532">
        <f t="shared" ref="J348" si="229">J349+J350+J351</f>
        <v>3363.3</v>
      </c>
      <c r="K348" s="532">
        <f t="shared" ref="K348" si="230">K349+K350+K351</f>
        <v>18358.25</v>
      </c>
      <c r="L348" s="321"/>
      <c r="M348" s="652"/>
    </row>
    <row r="349" spans="1:13" outlineLevel="1" x14ac:dyDescent="0.25">
      <c r="A349" s="332"/>
      <c r="B349" s="16" t="s">
        <v>555</v>
      </c>
      <c r="C349" s="508"/>
      <c r="D349" s="53"/>
      <c r="E349" s="11"/>
      <c r="F349" s="11"/>
      <c r="G349" s="106"/>
      <c r="H349" s="53"/>
      <c r="I349" s="11"/>
      <c r="J349" s="11"/>
      <c r="K349" s="106"/>
      <c r="L349" s="27"/>
    </row>
    <row r="350" spans="1:13" outlineLevel="1" x14ac:dyDescent="0.25">
      <c r="A350" s="332"/>
      <c r="B350" s="16" t="s">
        <v>554</v>
      </c>
      <c r="C350" s="508"/>
      <c r="D350" s="53"/>
      <c r="E350" s="11"/>
      <c r="F350" s="11"/>
      <c r="G350" s="106"/>
      <c r="H350" s="53"/>
      <c r="I350" s="11"/>
      <c r="J350" s="11"/>
      <c r="K350" s="106"/>
      <c r="L350" s="27"/>
    </row>
    <row r="351" spans="1:13" s="364" customFormat="1" outlineLevel="1" x14ac:dyDescent="0.25">
      <c r="A351" s="246"/>
      <c r="B351" s="248" t="s">
        <v>67</v>
      </c>
      <c r="C351" s="509">
        <v>67266.05</v>
      </c>
      <c r="D351" s="316">
        <f>E351+F351+G351</f>
        <v>67266.05</v>
      </c>
      <c r="E351" s="257">
        <f>C351*0.67708</f>
        <v>45544.497134000005</v>
      </c>
      <c r="F351" s="257">
        <f>C351*0.05</f>
        <v>3363.3025000000002</v>
      </c>
      <c r="G351" s="269">
        <f>C351-E351-F351</f>
        <v>18358.250365999997</v>
      </c>
      <c r="H351" s="316">
        <f>SUM(I351:K351)</f>
        <v>67266.05</v>
      </c>
      <c r="I351" s="257">
        <v>45544.5</v>
      </c>
      <c r="J351" s="257">
        <v>3363.3</v>
      </c>
      <c r="K351" s="269">
        <v>18358.25</v>
      </c>
      <c r="L351" s="270" t="s">
        <v>822</v>
      </c>
      <c r="M351" s="597">
        <v>42495</v>
      </c>
    </row>
    <row r="352" spans="1:13" s="68" customFormat="1" ht="40.5" customHeight="1" x14ac:dyDescent="0.2">
      <c r="A352" s="330">
        <v>94</v>
      </c>
      <c r="B352" s="333" t="s">
        <v>35</v>
      </c>
      <c r="C352" s="507"/>
      <c r="D352" s="323"/>
      <c r="E352" s="189"/>
      <c r="F352" s="189"/>
      <c r="G352" s="324"/>
      <c r="H352" s="323"/>
      <c r="I352" s="189"/>
      <c r="J352" s="189"/>
      <c r="K352" s="324"/>
      <c r="L352" s="321"/>
      <c r="M352" s="652"/>
    </row>
    <row r="353" spans="1:13" outlineLevel="1" x14ac:dyDescent="0.25">
      <c r="A353" s="332"/>
      <c r="B353" s="16" t="s">
        <v>65</v>
      </c>
      <c r="C353" s="508"/>
      <c r="D353" s="53"/>
      <c r="E353" s="11"/>
      <c r="F353" s="11"/>
      <c r="G353" s="106"/>
      <c r="H353" s="53"/>
      <c r="I353" s="11"/>
      <c r="J353" s="11"/>
      <c r="K353" s="106"/>
      <c r="L353" s="27"/>
    </row>
    <row r="354" spans="1:13" outlineLevel="1" x14ac:dyDescent="0.25">
      <c r="A354" s="332"/>
      <c r="B354" s="16" t="s">
        <v>66</v>
      </c>
      <c r="C354" s="508"/>
      <c r="D354" s="53"/>
      <c r="E354" s="11"/>
      <c r="F354" s="11"/>
      <c r="G354" s="106"/>
      <c r="H354" s="53"/>
      <c r="I354" s="11"/>
      <c r="J354" s="11"/>
      <c r="K354" s="106"/>
      <c r="L354" s="27"/>
    </row>
    <row r="355" spans="1:13" outlineLevel="1" x14ac:dyDescent="0.25">
      <c r="A355" s="332"/>
      <c r="B355" s="16" t="s">
        <v>557</v>
      </c>
      <c r="C355" s="508"/>
      <c r="D355" s="53"/>
      <c r="E355" s="11"/>
      <c r="F355" s="11"/>
      <c r="G355" s="106"/>
      <c r="H355" s="53"/>
      <c r="I355" s="11"/>
      <c r="J355" s="11"/>
      <c r="K355" s="106"/>
      <c r="L355" s="27"/>
    </row>
    <row r="356" spans="1:13" outlineLevel="1" x14ac:dyDescent="0.25">
      <c r="A356" s="332"/>
      <c r="B356" s="16" t="s">
        <v>554</v>
      </c>
      <c r="C356" s="508"/>
      <c r="D356" s="53"/>
      <c r="E356" s="11"/>
      <c r="F356" s="11"/>
      <c r="G356" s="106"/>
      <c r="H356" s="53"/>
      <c r="I356" s="11"/>
      <c r="J356" s="11"/>
      <c r="K356" s="106"/>
      <c r="L356" s="27"/>
    </row>
    <row r="357" spans="1:13" outlineLevel="1" x14ac:dyDescent="0.25">
      <c r="A357" s="332"/>
      <c r="B357" s="16" t="s">
        <v>67</v>
      </c>
      <c r="C357" s="508"/>
      <c r="D357" s="53"/>
      <c r="E357" s="11"/>
      <c r="F357" s="11"/>
      <c r="G357" s="106"/>
      <c r="H357" s="53"/>
      <c r="I357" s="11"/>
      <c r="J357" s="11"/>
      <c r="K357" s="106"/>
      <c r="L357" s="27"/>
    </row>
    <row r="358" spans="1:13" s="68" customFormat="1" ht="35.25" customHeight="1" x14ac:dyDescent="0.2">
      <c r="A358" s="330">
        <v>95</v>
      </c>
      <c r="B358" s="333" t="s">
        <v>612</v>
      </c>
      <c r="C358" s="532">
        <f>C359+C360+C361</f>
        <v>95869.49</v>
      </c>
      <c r="D358" s="228">
        <f>E358+F358+G358</f>
        <v>95869.49</v>
      </c>
      <c r="E358" s="532">
        <f t="shared" ref="E358" si="231">E359+E360+E361</f>
        <v>64911.314289200003</v>
      </c>
      <c r="F358" s="532">
        <f t="shared" ref="F358" si="232">F359+F360+F361</f>
        <v>4793.4745000000003</v>
      </c>
      <c r="G358" s="532">
        <f t="shared" ref="G358" si="233">G359+G360+G361</f>
        <v>26164.701210800002</v>
      </c>
      <c r="H358" s="228">
        <f>I358+J358+K358</f>
        <v>95869.489999999991</v>
      </c>
      <c r="I358" s="532">
        <f t="shared" ref="I358" si="234">I359+I360+I361</f>
        <v>64911.32</v>
      </c>
      <c r="J358" s="532">
        <f t="shared" ref="J358" si="235">J359+J360+J361</f>
        <v>4793.47</v>
      </c>
      <c r="K358" s="532">
        <f t="shared" ref="K358" si="236">K359+K360+K361</f>
        <v>26164.7</v>
      </c>
      <c r="L358" s="321"/>
      <c r="M358" s="652"/>
    </row>
    <row r="359" spans="1:13" outlineLevel="1" x14ac:dyDescent="0.25">
      <c r="A359" s="332"/>
      <c r="B359" s="16" t="s">
        <v>555</v>
      </c>
      <c r="C359" s="508"/>
      <c r="D359" s="53"/>
      <c r="E359" s="11"/>
      <c r="F359" s="11"/>
      <c r="G359" s="106"/>
      <c r="H359" s="53"/>
      <c r="I359" s="11"/>
      <c r="J359" s="11"/>
      <c r="K359" s="106"/>
      <c r="L359" s="27"/>
    </row>
    <row r="360" spans="1:13" outlineLevel="1" x14ac:dyDescent="0.25">
      <c r="A360" s="332"/>
      <c r="B360" s="16" t="s">
        <v>554</v>
      </c>
      <c r="C360" s="508"/>
      <c r="D360" s="53"/>
      <c r="E360" s="11"/>
      <c r="F360" s="11"/>
      <c r="G360" s="106"/>
      <c r="H360" s="53"/>
      <c r="I360" s="11"/>
      <c r="J360" s="11"/>
      <c r="K360" s="106"/>
      <c r="L360" s="27"/>
    </row>
    <row r="361" spans="1:13" s="364" customFormat="1" outlineLevel="1" x14ac:dyDescent="0.25">
      <c r="A361" s="246"/>
      <c r="B361" s="248" t="s">
        <v>67</v>
      </c>
      <c r="C361" s="509">
        <v>95869.49</v>
      </c>
      <c r="D361" s="316">
        <f t="shared" ref="D361:D367" si="237">E361+F361+G361</f>
        <v>95869.49</v>
      </c>
      <c r="E361" s="257">
        <f>C361*0.67708</f>
        <v>64911.314289200003</v>
      </c>
      <c r="F361" s="257">
        <f>C361*0.05</f>
        <v>4793.4745000000003</v>
      </c>
      <c r="G361" s="269">
        <f>C361-E361-F361</f>
        <v>26164.701210800002</v>
      </c>
      <c r="H361" s="316">
        <f>SUM(I361:K361)</f>
        <v>95869.489999999991</v>
      </c>
      <c r="I361" s="257">
        <v>64911.32</v>
      </c>
      <c r="J361" s="257">
        <v>4793.47</v>
      </c>
      <c r="K361" s="269">
        <v>26164.7</v>
      </c>
      <c r="L361" s="270" t="s">
        <v>822</v>
      </c>
      <c r="M361" s="597">
        <v>42495</v>
      </c>
    </row>
    <row r="362" spans="1:13" s="566" customFormat="1" ht="30.75" customHeight="1" x14ac:dyDescent="0.2">
      <c r="A362" s="286">
        <v>96</v>
      </c>
      <c r="B362" s="525" t="s">
        <v>486</v>
      </c>
      <c r="C362" s="291">
        <f>SUM(C363:C364)</f>
        <v>3484532.69</v>
      </c>
      <c r="D362" s="288">
        <f t="shared" si="237"/>
        <v>3484532.69</v>
      </c>
      <c r="E362" s="289">
        <f>SUM(E363:E364)</f>
        <v>2563222.246764</v>
      </c>
      <c r="F362" s="289">
        <f>SUM(F363:F364)</f>
        <v>174226.63449999999</v>
      </c>
      <c r="G362" s="289">
        <f>SUM(G363:G364)</f>
        <v>747083.80873599974</v>
      </c>
      <c r="H362" s="288">
        <f>I362+J362+K362</f>
        <v>3484532.69</v>
      </c>
      <c r="I362" s="289">
        <f>SUM(I363:I364)</f>
        <v>2563222.25</v>
      </c>
      <c r="J362" s="289">
        <f>SUM(J363:J364)</f>
        <v>174226.63</v>
      </c>
      <c r="K362" s="289">
        <f>SUM(K363:K364)</f>
        <v>747083.80999999994</v>
      </c>
      <c r="L362" s="565"/>
      <c r="M362" s="651"/>
    </row>
    <row r="363" spans="1:13" s="364" customFormat="1" outlineLevel="1" x14ac:dyDescent="0.25">
      <c r="A363" s="246"/>
      <c r="B363" s="248" t="s">
        <v>555</v>
      </c>
      <c r="C363" s="509">
        <v>3417435</v>
      </c>
      <c r="D363" s="316">
        <f t="shared" si="237"/>
        <v>3417435</v>
      </c>
      <c r="E363" s="257">
        <f>C363*0.7356</f>
        <v>2513865.1860000002</v>
      </c>
      <c r="F363" s="257">
        <f>C363*0.05</f>
        <v>170871.75</v>
      </c>
      <c r="G363" s="269">
        <f>C363-E363-F363</f>
        <v>732698.06399999978</v>
      </c>
      <c r="H363" s="316">
        <f>I363+J363+K363</f>
        <v>3417435</v>
      </c>
      <c r="I363" s="257">
        <v>2513865.1800000002</v>
      </c>
      <c r="J363" s="257">
        <v>170871.75</v>
      </c>
      <c r="K363" s="269">
        <v>732698.07</v>
      </c>
      <c r="L363" s="270" t="s">
        <v>683</v>
      </c>
      <c r="M363" s="597"/>
    </row>
    <row r="364" spans="1:13" outlineLevel="1" x14ac:dyDescent="0.25">
      <c r="A364" s="246"/>
      <c r="B364" s="248" t="s">
        <v>67</v>
      </c>
      <c r="C364" s="509">
        <v>67097.69</v>
      </c>
      <c r="D364" s="316">
        <f t="shared" si="237"/>
        <v>67097.69</v>
      </c>
      <c r="E364" s="257">
        <f>C364*0.7356</f>
        <v>49357.060764000002</v>
      </c>
      <c r="F364" s="257">
        <f>C364*0.05</f>
        <v>3354.8845000000001</v>
      </c>
      <c r="G364" s="269">
        <f>C364-E364-F364</f>
        <v>14385.744736000001</v>
      </c>
      <c r="H364" s="316">
        <f>SUM(I364:K364)</f>
        <v>67097.69</v>
      </c>
      <c r="I364" s="257">
        <v>49357.07</v>
      </c>
      <c r="J364" s="257">
        <v>3354.88</v>
      </c>
      <c r="K364" s="269">
        <v>14385.74</v>
      </c>
      <c r="L364" s="270" t="s">
        <v>822</v>
      </c>
      <c r="M364" s="597">
        <v>42495</v>
      </c>
    </row>
    <row r="365" spans="1:13" s="566" customFormat="1" ht="28.5" customHeight="1" x14ac:dyDescent="0.2">
      <c r="A365" s="286">
        <v>97</v>
      </c>
      <c r="B365" s="525" t="s">
        <v>487</v>
      </c>
      <c r="C365" s="291">
        <f>SUM(C366:C367)</f>
        <v>3373018.4</v>
      </c>
      <c r="D365" s="288">
        <f t="shared" si="237"/>
        <v>3373018.4000000004</v>
      </c>
      <c r="E365" s="289">
        <f>SUM(E366:E367)</f>
        <v>2481192.3350400003</v>
      </c>
      <c r="F365" s="289">
        <f>SUM(F366:F367)</f>
        <v>168650.92</v>
      </c>
      <c r="G365" s="289">
        <f>SUM(G366:G367)</f>
        <v>723175.14495999995</v>
      </c>
      <c r="H365" s="288">
        <f>I365+J365+K365</f>
        <v>3373018.4</v>
      </c>
      <c r="I365" s="289">
        <f>SUM(I366:I367)</f>
        <v>2481192.34</v>
      </c>
      <c r="J365" s="289">
        <f>SUM(J366:J367)</f>
        <v>168650.93</v>
      </c>
      <c r="K365" s="289">
        <f>SUM(K366:K367)</f>
        <v>723175.13</v>
      </c>
      <c r="L365" s="565"/>
      <c r="M365" s="651"/>
    </row>
    <row r="366" spans="1:13" s="364" customFormat="1" outlineLevel="1" x14ac:dyDescent="0.25">
      <c r="A366" s="246"/>
      <c r="B366" s="248" t="s">
        <v>555</v>
      </c>
      <c r="C366" s="509">
        <v>3306484.1</v>
      </c>
      <c r="D366" s="316">
        <f t="shared" si="237"/>
        <v>3306484.1</v>
      </c>
      <c r="E366" s="257">
        <f>C366*0.7356</f>
        <v>2432249.7039600001</v>
      </c>
      <c r="F366" s="257">
        <f>C366*0.05</f>
        <v>165324.20500000002</v>
      </c>
      <c r="G366" s="269">
        <f>C366-E366-F366</f>
        <v>708910.19103999995</v>
      </c>
      <c r="H366" s="316">
        <f>I366+J366+K366</f>
        <v>3306484.1</v>
      </c>
      <c r="I366" s="257">
        <v>2432249.71</v>
      </c>
      <c r="J366" s="257">
        <v>165324.21</v>
      </c>
      <c r="K366" s="269">
        <v>708910.18</v>
      </c>
      <c r="L366" s="270" t="s">
        <v>683</v>
      </c>
      <c r="M366" s="597"/>
    </row>
    <row r="367" spans="1:13" outlineLevel="1" x14ac:dyDescent="0.25">
      <c r="A367" s="246"/>
      <c r="B367" s="248" t="s">
        <v>67</v>
      </c>
      <c r="C367" s="509">
        <v>66534.3</v>
      </c>
      <c r="D367" s="316">
        <f t="shared" si="237"/>
        <v>66534.3</v>
      </c>
      <c r="E367" s="257">
        <f>C367*0.7356</f>
        <v>48942.631080000006</v>
      </c>
      <c r="F367" s="257">
        <f>C367*0.05</f>
        <v>3326.7150000000001</v>
      </c>
      <c r="G367" s="269">
        <f>C367-E367-F367</f>
        <v>14264.953919999996</v>
      </c>
      <c r="H367" s="316">
        <f>SUM(I367:K367)</f>
        <v>66534.3</v>
      </c>
      <c r="I367" s="257">
        <v>48942.63</v>
      </c>
      <c r="J367" s="257">
        <v>3326.72</v>
      </c>
      <c r="K367" s="269">
        <v>14264.95</v>
      </c>
      <c r="L367" s="270" t="s">
        <v>822</v>
      </c>
      <c r="M367" s="597">
        <v>42495</v>
      </c>
    </row>
    <row r="368" spans="1:13" s="68" customFormat="1" ht="27.75" customHeight="1" x14ac:dyDescent="0.2">
      <c r="A368" s="330">
        <v>98</v>
      </c>
      <c r="B368" s="333" t="s">
        <v>488</v>
      </c>
      <c r="C368" s="532">
        <f>C369+C370</f>
        <v>709556.86</v>
      </c>
      <c r="D368" s="228">
        <f>E368+F368+G368</f>
        <v>709556.86</v>
      </c>
      <c r="E368" s="532">
        <f t="shared" ref="E368:G368" si="238">E369+E370</f>
        <v>555164.38</v>
      </c>
      <c r="F368" s="532">
        <f t="shared" si="238"/>
        <v>35477.839999999997</v>
      </c>
      <c r="G368" s="532">
        <f t="shared" si="238"/>
        <v>118914.64</v>
      </c>
      <c r="H368" s="228">
        <f>I368+J368+K368</f>
        <v>0</v>
      </c>
      <c r="I368" s="532">
        <f t="shared" ref="I368:K368" si="239">I369+I370</f>
        <v>0</v>
      </c>
      <c r="J368" s="532">
        <f t="shared" si="239"/>
        <v>0</v>
      </c>
      <c r="K368" s="532">
        <f t="shared" si="239"/>
        <v>0</v>
      </c>
      <c r="L368" s="321"/>
      <c r="M368" s="652"/>
    </row>
    <row r="369" spans="1:13" s="364" customFormat="1" outlineLevel="1" x14ac:dyDescent="0.25">
      <c r="A369" s="246"/>
      <c r="B369" s="248" t="s">
        <v>68</v>
      </c>
      <c r="C369" s="509">
        <v>709556.86</v>
      </c>
      <c r="D369" s="316">
        <f>E369+F369+G369</f>
        <v>709556.86</v>
      </c>
      <c r="E369" s="257">
        <v>555164.38</v>
      </c>
      <c r="F369" s="257">
        <v>35477.839999999997</v>
      </c>
      <c r="G369" s="269">
        <v>118914.64</v>
      </c>
      <c r="H369" s="316"/>
      <c r="I369" s="257"/>
      <c r="J369" s="257"/>
      <c r="K369" s="269"/>
      <c r="L369" s="270" t="s">
        <v>856</v>
      </c>
      <c r="M369" s="597">
        <v>42641</v>
      </c>
    </row>
    <row r="370" spans="1:13" outlineLevel="1" x14ac:dyDescent="0.25">
      <c r="A370" s="332"/>
      <c r="B370" s="16" t="s">
        <v>67</v>
      </c>
      <c r="C370" s="508"/>
      <c r="D370" s="53"/>
      <c r="E370" s="11"/>
      <c r="F370" s="11"/>
      <c r="G370" s="106"/>
      <c r="H370" s="53"/>
      <c r="I370" s="11"/>
      <c r="J370" s="11"/>
      <c r="K370" s="106"/>
      <c r="L370" s="27"/>
    </row>
    <row r="371" spans="1:13" s="68" customFormat="1" ht="33" customHeight="1" x14ac:dyDescent="0.2">
      <c r="A371" s="330">
        <v>99</v>
      </c>
      <c r="B371" s="333" t="s">
        <v>36</v>
      </c>
      <c r="C371" s="507"/>
      <c r="D371" s="323"/>
      <c r="E371" s="189"/>
      <c r="F371" s="189"/>
      <c r="G371" s="324"/>
      <c r="H371" s="323"/>
      <c r="I371" s="189"/>
      <c r="J371" s="189"/>
      <c r="K371" s="324"/>
      <c r="L371" s="321"/>
      <c r="M371" s="652"/>
    </row>
    <row r="372" spans="1:13" outlineLevel="1" x14ac:dyDescent="0.25">
      <c r="A372" s="332"/>
      <c r="B372" s="16" t="s">
        <v>68</v>
      </c>
      <c r="C372" s="508"/>
      <c r="D372" s="53"/>
      <c r="E372" s="11"/>
      <c r="F372" s="11"/>
      <c r="G372" s="106"/>
      <c r="H372" s="53"/>
      <c r="I372" s="11"/>
      <c r="J372" s="11"/>
      <c r="K372" s="106"/>
      <c r="L372" s="27"/>
    </row>
    <row r="373" spans="1:13" outlineLevel="1" x14ac:dyDescent="0.25">
      <c r="A373" s="332"/>
      <c r="B373" s="16" t="s">
        <v>64</v>
      </c>
      <c r="C373" s="508"/>
      <c r="D373" s="53"/>
      <c r="E373" s="11"/>
      <c r="F373" s="11"/>
      <c r="G373" s="106"/>
      <c r="H373" s="53"/>
      <c r="I373" s="11"/>
      <c r="J373" s="11"/>
      <c r="K373" s="106"/>
      <c r="L373" s="27"/>
    </row>
    <row r="374" spans="1:13" outlineLevel="1" x14ac:dyDescent="0.25">
      <c r="A374" s="332"/>
      <c r="B374" s="16" t="s">
        <v>554</v>
      </c>
      <c r="C374" s="508"/>
      <c r="D374" s="53"/>
      <c r="E374" s="11"/>
      <c r="F374" s="11"/>
      <c r="G374" s="106"/>
      <c r="H374" s="53"/>
      <c r="I374" s="11"/>
      <c r="J374" s="11"/>
      <c r="K374" s="106"/>
      <c r="L374" s="27"/>
    </row>
    <row r="375" spans="1:13" outlineLevel="1" x14ac:dyDescent="0.25">
      <c r="A375" s="332"/>
      <c r="B375" s="16" t="s">
        <v>67</v>
      </c>
      <c r="C375" s="508"/>
      <c r="D375" s="53"/>
      <c r="E375" s="11"/>
      <c r="F375" s="11"/>
      <c r="G375" s="106"/>
      <c r="H375" s="53"/>
      <c r="I375" s="11"/>
      <c r="J375" s="11"/>
      <c r="K375" s="106"/>
      <c r="L375" s="27"/>
    </row>
    <row r="376" spans="1:13" s="68" customFormat="1" ht="30.75" customHeight="1" x14ac:dyDescent="0.2">
      <c r="A376" s="330">
        <v>100</v>
      </c>
      <c r="B376" s="333" t="s">
        <v>489</v>
      </c>
      <c r="C376" s="532">
        <f>C377+C378+C379+C380+C381</f>
        <v>6893662.2599999998</v>
      </c>
      <c r="D376" s="228">
        <f>E376+F376+G376</f>
        <v>6893662.2599999998</v>
      </c>
      <c r="E376" s="532">
        <f t="shared" ref="E376:G376" si="240">E377+E378+E379+E380+E381</f>
        <v>5393670.2950735996</v>
      </c>
      <c r="F376" s="532">
        <f t="shared" si="240"/>
        <v>344683.10600000003</v>
      </c>
      <c r="G376" s="532">
        <f t="shared" si="240"/>
        <v>1155308.8589264001</v>
      </c>
      <c r="H376" s="228">
        <f>I376+J376+K376</f>
        <v>104602.91999999998</v>
      </c>
      <c r="I376" s="532">
        <f t="shared" ref="I376:K376" si="241">I377+I378+I379+I380+I381</f>
        <v>70824.539999999994</v>
      </c>
      <c r="J376" s="532">
        <f t="shared" si="241"/>
        <v>5230.1499999999996</v>
      </c>
      <c r="K376" s="532">
        <f t="shared" si="241"/>
        <v>28548.23</v>
      </c>
      <c r="L376" s="321"/>
      <c r="M376" s="652"/>
    </row>
    <row r="377" spans="1:13" s="364" customFormat="1" outlineLevel="1" x14ac:dyDescent="0.25">
      <c r="A377" s="246"/>
      <c r="B377" s="248" t="s">
        <v>68</v>
      </c>
      <c r="C377" s="509">
        <v>1324530.25</v>
      </c>
      <c r="D377" s="316">
        <f t="shared" ref="D377:D378" si="242">E377+F377+G377</f>
        <v>1324530.25</v>
      </c>
      <c r="E377" s="257">
        <v>1038475.27</v>
      </c>
      <c r="F377" s="257">
        <v>66226.509999999995</v>
      </c>
      <c r="G377" s="269">
        <v>219828.47</v>
      </c>
      <c r="H377" s="316"/>
      <c r="I377" s="257"/>
      <c r="J377" s="257"/>
      <c r="K377" s="269"/>
      <c r="L377" s="270" t="s">
        <v>856</v>
      </c>
      <c r="M377" s="597">
        <v>42641</v>
      </c>
    </row>
    <row r="378" spans="1:13" s="364" customFormat="1" outlineLevel="1" x14ac:dyDescent="0.25">
      <c r="A378" s="246"/>
      <c r="B378" s="248" t="s">
        <v>64</v>
      </c>
      <c r="C378" s="509">
        <v>5464529.0899999999</v>
      </c>
      <c r="D378" s="316">
        <f t="shared" si="242"/>
        <v>5464529.0900000008</v>
      </c>
      <c r="E378" s="257">
        <v>4284370.4800000004</v>
      </c>
      <c r="F378" s="257">
        <v>273226.45</v>
      </c>
      <c r="G378" s="269">
        <v>906932.16</v>
      </c>
      <c r="H378" s="316"/>
      <c r="I378" s="257"/>
      <c r="J378" s="257"/>
      <c r="K378" s="269"/>
      <c r="L378" s="270" t="s">
        <v>856</v>
      </c>
      <c r="M378" s="597">
        <v>42641</v>
      </c>
    </row>
    <row r="379" spans="1:13" outlineLevel="1" x14ac:dyDescent="0.25">
      <c r="A379" s="332"/>
      <c r="B379" s="16" t="s">
        <v>557</v>
      </c>
      <c r="C379" s="508"/>
      <c r="D379" s="53"/>
      <c r="E379" s="11"/>
      <c r="F379" s="11"/>
      <c r="G379" s="106"/>
      <c r="H379" s="53"/>
      <c r="I379" s="11"/>
      <c r="J379" s="11"/>
      <c r="K379" s="106"/>
      <c r="L379" s="27"/>
    </row>
    <row r="380" spans="1:13" outlineLevel="1" x14ac:dyDescent="0.25">
      <c r="A380" s="332"/>
      <c r="B380" s="16" t="s">
        <v>554</v>
      </c>
      <c r="C380" s="508"/>
      <c r="D380" s="53"/>
      <c r="E380" s="11"/>
      <c r="F380" s="11"/>
      <c r="G380" s="106"/>
      <c r="H380" s="53"/>
      <c r="I380" s="11"/>
      <c r="J380" s="11"/>
      <c r="K380" s="106"/>
      <c r="L380" s="27"/>
    </row>
    <row r="381" spans="1:13" s="364" customFormat="1" outlineLevel="1" x14ac:dyDescent="0.25">
      <c r="A381" s="246"/>
      <c r="B381" s="248" t="s">
        <v>67</v>
      </c>
      <c r="C381" s="509">
        <v>104602.92</v>
      </c>
      <c r="D381" s="316">
        <f>E381+F381+G381</f>
        <v>104602.91999999998</v>
      </c>
      <c r="E381" s="257">
        <f>C381*0.67708</f>
        <v>70824.545073600006</v>
      </c>
      <c r="F381" s="257">
        <f>C381*0.05</f>
        <v>5230.1460000000006</v>
      </c>
      <c r="G381" s="269">
        <f>C381-E381-F381</f>
        <v>28548.228926399992</v>
      </c>
      <c r="H381" s="316">
        <f>SUM(I381:K381)</f>
        <v>104602.91999999998</v>
      </c>
      <c r="I381" s="257">
        <v>70824.539999999994</v>
      </c>
      <c r="J381" s="257">
        <v>5230.1499999999996</v>
      </c>
      <c r="K381" s="269">
        <v>28548.23</v>
      </c>
      <c r="L381" s="270" t="s">
        <v>822</v>
      </c>
      <c r="M381" s="597">
        <v>42495</v>
      </c>
    </row>
    <row r="382" spans="1:13" s="534" customFormat="1" ht="25.5" customHeight="1" x14ac:dyDescent="0.2">
      <c r="A382" s="88">
        <v>101</v>
      </c>
      <c r="B382" s="582" t="s">
        <v>490</v>
      </c>
      <c r="C382" s="285">
        <f>SUM(C383:C384)</f>
        <v>8617355.5999999996</v>
      </c>
      <c r="D382" s="228">
        <f>E382+F382+G382</f>
        <v>8617355.5999999996</v>
      </c>
      <c r="E382" s="223">
        <f t="shared" ref="E382:G382" si="243">SUM(E383:E384)</f>
        <v>6338926.77936</v>
      </c>
      <c r="F382" s="223">
        <f t="shared" si="243"/>
        <v>430867.78</v>
      </c>
      <c r="G382" s="223">
        <f t="shared" si="243"/>
        <v>1847561.0406399996</v>
      </c>
      <c r="H382" s="228">
        <f>I382+J382+K382</f>
        <v>8617355.6000000015</v>
      </c>
      <c r="I382" s="201">
        <f>SUM(I383:I384)</f>
        <v>6338926.7800000003</v>
      </c>
      <c r="J382" s="201">
        <f t="shared" ref="J382:K382" si="244">SUM(J383:J384)</f>
        <v>430867.78</v>
      </c>
      <c r="K382" s="201">
        <f t="shared" si="244"/>
        <v>1847561.04</v>
      </c>
      <c r="L382" s="533"/>
      <c r="M382" s="654"/>
    </row>
    <row r="383" spans="1:13" s="364" customFormat="1" ht="17.25" customHeight="1" outlineLevel="1" x14ac:dyDescent="0.25">
      <c r="A383" s="246"/>
      <c r="B383" s="248" t="s">
        <v>555</v>
      </c>
      <c r="C383" s="245">
        <f>8617355.6</f>
        <v>8617355.5999999996</v>
      </c>
      <c r="D383" s="249">
        <f>E383+F383+G383</f>
        <v>8617355.5999999996</v>
      </c>
      <c r="E383" s="250">
        <f>C383*0.7356</f>
        <v>6338926.77936</v>
      </c>
      <c r="F383" s="250">
        <f>C383*0.05</f>
        <v>430867.78</v>
      </c>
      <c r="G383" s="251">
        <f>C383-E383-F383</f>
        <v>1847561.0406399996</v>
      </c>
      <c r="H383" s="316">
        <f>I383+J383+K383</f>
        <v>8617355.6000000015</v>
      </c>
      <c r="I383" s="257">
        <v>6338926.7800000003</v>
      </c>
      <c r="J383" s="257">
        <v>430867.78</v>
      </c>
      <c r="K383" s="269">
        <v>1847561.04</v>
      </c>
      <c r="L383" s="270" t="s">
        <v>658</v>
      </c>
      <c r="M383" s="597"/>
    </row>
    <row r="384" spans="1:13" ht="20.25" customHeight="1" outlineLevel="1" x14ac:dyDescent="0.25">
      <c r="A384" s="332"/>
      <c r="B384" s="283" t="s">
        <v>67</v>
      </c>
      <c r="C384" s="284"/>
      <c r="D384" s="264"/>
      <c r="E384" s="202"/>
      <c r="F384" s="202"/>
      <c r="G384" s="265"/>
      <c r="H384" s="53"/>
      <c r="I384" s="11"/>
      <c r="J384" s="11"/>
      <c r="K384" s="106"/>
      <c r="L384" s="27"/>
    </row>
    <row r="385" spans="1:13" s="566" customFormat="1" ht="30" customHeight="1" x14ac:dyDescent="0.2">
      <c r="A385" s="286">
        <v>102</v>
      </c>
      <c r="B385" s="525" t="s">
        <v>491</v>
      </c>
      <c r="C385" s="287">
        <f>SUM(C386:C387)</f>
        <v>5296200.26</v>
      </c>
      <c r="D385" s="288">
        <f t="shared" ref="D385:D394" si="245">E385+F385+G385</f>
        <v>5296200.26</v>
      </c>
      <c r="E385" s="291">
        <f t="shared" ref="E385:G385" si="246">SUM(E386:E387)</f>
        <v>3685466.8749261997</v>
      </c>
      <c r="F385" s="291">
        <f t="shared" si="246"/>
        <v>264810.01299999998</v>
      </c>
      <c r="G385" s="291">
        <f t="shared" si="246"/>
        <v>1345923.3720738001</v>
      </c>
      <c r="H385" s="288">
        <f>I385+J385+K385</f>
        <v>5296200.26</v>
      </c>
      <c r="I385" s="289">
        <f>SUM(I386:I387)</f>
        <v>3685466.87</v>
      </c>
      <c r="J385" s="289">
        <f t="shared" ref="J385:K385" si="247">SUM(J386:J387)</f>
        <v>264810.01</v>
      </c>
      <c r="K385" s="289">
        <f t="shared" si="247"/>
        <v>1345923.38</v>
      </c>
      <c r="L385" s="565"/>
      <c r="M385" s="651"/>
    </row>
    <row r="386" spans="1:13" s="364" customFormat="1" outlineLevel="1" x14ac:dyDescent="0.25">
      <c r="A386" s="246"/>
      <c r="B386" s="248" t="s">
        <v>555</v>
      </c>
      <c r="C386" s="509">
        <v>5194193.72</v>
      </c>
      <c r="D386" s="316">
        <f t="shared" si="245"/>
        <v>5194193.72</v>
      </c>
      <c r="E386" s="257">
        <f>C386*0.69587</f>
        <v>3614483.5839363998</v>
      </c>
      <c r="F386" s="257">
        <f>C386*0.05</f>
        <v>259709.68599999999</v>
      </c>
      <c r="G386" s="269">
        <f>C386-E386-F386</f>
        <v>1320000.4500636</v>
      </c>
      <c r="H386" s="316">
        <f>I386+J386+K386</f>
        <v>5194193.7200000007</v>
      </c>
      <c r="I386" s="257">
        <v>3614483.58</v>
      </c>
      <c r="J386" s="257">
        <v>259709.68</v>
      </c>
      <c r="K386" s="269">
        <v>1320000.46</v>
      </c>
      <c r="L386" s="270" t="s">
        <v>740</v>
      </c>
      <c r="M386" s="597"/>
    </row>
    <row r="387" spans="1:13" outlineLevel="1" x14ac:dyDescent="0.25">
      <c r="A387" s="246"/>
      <c r="B387" s="248" t="s">
        <v>67</v>
      </c>
      <c r="C387" s="509">
        <v>102006.54</v>
      </c>
      <c r="D387" s="316">
        <f t="shared" si="245"/>
        <v>102006.54</v>
      </c>
      <c r="E387" s="257">
        <f>C387*0.69587</f>
        <v>70983.290989799993</v>
      </c>
      <c r="F387" s="257">
        <f>C387*0.05</f>
        <v>5100.3270000000002</v>
      </c>
      <c r="G387" s="269">
        <f>C387-E387-F387</f>
        <v>25922.9220102</v>
      </c>
      <c r="H387" s="316">
        <f>SUM(I387:K387)</f>
        <v>102006.54</v>
      </c>
      <c r="I387" s="257">
        <v>70983.289999999994</v>
      </c>
      <c r="J387" s="257">
        <v>5100.33</v>
      </c>
      <c r="K387" s="269">
        <v>25922.92</v>
      </c>
      <c r="L387" s="270" t="s">
        <v>822</v>
      </c>
      <c r="M387" s="597">
        <v>42495</v>
      </c>
    </row>
    <row r="388" spans="1:13" s="566" customFormat="1" ht="39.75" customHeight="1" x14ac:dyDescent="0.2">
      <c r="A388" s="286">
        <v>103</v>
      </c>
      <c r="B388" s="525" t="s">
        <v>492</v>
      </c>
      <c r="C388" s="287">
        <f>SUM(C389:C390)</f>
        <v>7495028.6799999997</v>
      </c>
      <c r="D388" s="288">
        <f t="shared" si="245"/>
        <v>7495028.6800000006</v>
      </c>
      <c r="E388" s="401">
        <f>SUM(E389:E390)</f>
        <v>5074660.0996075999</v>
      </c>
      <c r="F388" s="401">
        <f>SUM(F389:F390)</f>
        <v>374751.43400000001</v>
      </c>
      <c r="G388" s="528">
        <f>SUM(G389:G390)</f>
        <v>2045617.1463924001</v>
      </c>
      <c r="H388" s="288">
        <f>I388+J388+K388</f>
        <v>7495028.6799999997</v>
      </c>
      <c r="I388" s="401">
        <f>SUM(I389:I390)</f>
        <v>5074660.1100000003</v>
      </c>
      <c r="J388" s="401">
        <f>SUM(J389:J390)</f>
        <v>374751.43</v>
      </c>
      <c r="K388" s="528">
        <f>SUM(K389:K390)</f>
        <v>2045617.1400000001</v>
      </c>
      <c r="L388" s="565"/>
      <c r="M388" s="651"/>
    </row>
    <row r="389" spans="1:13" s="364" customFormat="1" outlineLevel="1" x14ac:dyDescent="0.25">
      <c r="A389" s="246"/>
      <c r="B389" s="248" t="s">
        <v>555</v>
      </c>
      <c r="C389" s="509">
        <v>7391904.6799999997</v>
      </c>
      <c r="D389" s="316">
        <f t="shared" si="245"/>
        <v>7391904.6799999997</v>
      </c>
      <c r="E389" s="257">
        <f>C389*0.67707</f>
        <v>5004836.9016875997</v>
      </c>
      <c r="F389" s="257">
        <f>C389*5%</f>
        <v>369595.234</v>
      </c>
      <c r="G389" s="269">
        <f>C389-E389-F389</f>
        <v>2017472.5443124</v>
      </c>
      <c r="H389" s="316">
        <f>I389+J389+K389</f>
        <v>7391904.6800000006</v>
      </c>
      <c r="I389" s="257">
        <v>5004836.91</v>
      </c>
      <c r="J389" s="257">
        <v>369595.23</v>
      </c>
      <c r="K389" s="269">
        <v>2017472.54</v>
      </c>
      <c r="L389" s="270" t="s">
        <v>768</v>
      </c>
      <c r="M389" s="655" t="s">
        <v>769</v>
      </c>
    </row>
    <row r="390" spans="1:13" s="364" customFormat="1" outlineLevel="1" x14ac:dyDescent="0.25">
      <c r="A390" s="246"/>
      <c r="B390" s="248" t="s">
        <v>67</v>
      </c>
      <c r="C390" s="509">
        <v>103124</v>
      </c>
      <c r="D390" s="316">
        <f t="shared" si="245"/>
        <v>103124</v>
      </c>
      <c r="E390" s="257">
        <f>C390*0.67708</f>
        <v>69823.197920000006</v>
      </c>
      <c r="F390" s="257">
        <f>C390*0.05</f>
        <v>5156.2000000000007</v>
      </c>
      <c r="G390" s="269">
        <f>C390-E390-F390</f>
        <v>28144.602079999993</v>
      </c>
      <c r="H390" s="316">
        <f>SUM(I390:K390)</f>
        <v>103124</v>
      </c>
      <c r="I390" s="257">
        <v>69823.199999999997</v>
      </c>
      <c r="J390" s="257">
        <v>5156.2</v>
      </c>
      <c r="K390" s="269">
        <v>28144.6</v>
      </c>
      <c r="L390" s="270" t="s">
        <v>822</v>
      </c>
      <c r="M390" s="597">
        <v>42495</v>
      </c>
    </row>
    <row r="391" spans="1:13" s="566" customFormat="1" ht="36.75" customHeight="1" x14ac:dyDescent="0.2">
      <c r="A391" s="286">
        <v>104</v>
      </c>
      <c r="B391" s="525" t="s">
        <v>493</v>
      </c>
      <c r="C391" s="287">
        <f>SUM(C392:C393)</f>
        <v>9706146.0899999999</v>
      </c>
      <c r="D391" s="288">
        <f t="shared" si="245"/>
        <v>9706146.0899999999</v>
      </c>
      <c r="E391" s="401">
        <f>SUM(E392:E393)</f>
        <v>6571741.3166436991</v>
      </c>
      <c r="F391" s="401">
        <f>SUM(F392:F393)</f>
        <v>485307.30449999997</v>
      </c>
      <c r="G391" s="528">
        <f>SUM(G392:G393)</f>
        <v>2649097.4688563002</v>
      </c>
      <c r="H391" s="288">
        <f>I391+J391+K391</f>
        <v>9706146.0899999999</v>
      </c>
      <c r="I391" s="401">
        <f>SUM(I392:I393)</f>
        <v>6571741.3099999996</v>
      </c>
      <c r="J391" s="401">
        <f>SUM(J392:J393)</f>
        <v>485307.31</v>
      </c>
      <c r="K391" s="528">
        <f>SUM(K392:K393)</f>
        <v>2649097.4699999997</v>
      </c>
      <c r="L391" s="565"/>
      <c r="M391" s="651"/>
    </row>
    <row r="392" spans="1:13" s="364" customFormat="1" outlineLevel="1" x14ac:dyDescent="0.25">
      <c r="A392" s="246"/>
      <c r="B392" s="248" t="s">
        <v>555</v>
      </c>
      <c r="C392" s="509">
        <v>9607797.3499999996</v>
      </c>
      <c r="D392" s="316">
        <f t="shared" si="245"/>
        <v>9607797.3499999996</v>
      </c>
      <c r="E392" s="257">
        <f>C392*0.67707</f>
        <v>6505151.3517644992</v>
      </c>
      <c r="F392" s="257">
        <f>C392*5%</f>
        <v>480389.86749999999</v>
      </c>
      <c r="G392" s="269">
        <f>C392-E392-F392</f>
        <v>2622256.1307355003</v>
      </c>
      <c r="H392" s="316">
        <f>SUM(I392:K392)</f>
        <v>9607797.3499999996</v>
      </c>
      <c r="I392" s="257">
        <v>6505151.3499999996</v>
      </c>
      <c r="J392" s="257">
        <v>480389.87</v>
      </c>
      <c r="K392" s="269">
        <v>2622256.13</v>
      </c>
      <c r="L392" s="270" t="s">
        <v>768</v>
      </c>
      <c r="M392" s="655" t="s">
        <v>770</v>
      </c>
    </row>
    <row r="393" spans="1:13" s="364" customFormat="1" outlineLevel="1" x14ac:dyDescent="0.25">
      <c r="A393" s="246"/>
      <c r="B393" s="248" t="s">
        <v>67</v>
      </c>
      <c r="C393" s="509">
        <v>98348.74</v>
      </c>
      <c r="D393" s="316">
        <f t="shared" si="245"/>
        <v>98348.74</v>
      </c>
      <c r="E393" s="257">
        <f>C393*0.67708</f>
        <v>66589.964879200008</v>
      </c>
      <c r="F393" s="257">
        <f>C393*0.05</f>
        <v>4917.4370000000008</v>
      </c>
      <c r="G393" s="269">
        <f>C393-E393-F393</f>
        <v>26841.338120799996</v>
      </c>
      <c r="H393" s="316">
        <f>SUM(I393:K393)</f>
        <v>98348.74</v>
      </c>
      <c r="I393" s="257">
        <v>66589.960000000006</v>
      </c>
      <c r="J393" s="257">
        <v>4917.4399999999996</v>
      </c>
      <c r="K393" s="269">
        <v>26841.34</v>
      </c>
      <c r="L393" s="270" t="s">
        <v>822</v>
      </c>
      <c r="M393" s="597">
        <v>42495</v>
      </c>
    </row>
    <row r="394" spans="1:13" s="534" customFormat="1" ht="30.75" customHeight="1" x14ac:dyDescent="0.2">
      <c r="A394" s="88">
        <v>105</v>
      </c>
      <c r="B394" s="582" t="s">
        <v>494</v>
      </c>
      <c r="C394" s="86">
        <f>C395+C396</f>
        <v>7117835.5199999996</v>
      </c>
      <c r="D394" s="228">
        <f t="shared" si="245"/>
        <v>7117835.5199999996</v>
      </c>
      <c r="E394" s="201">
        <f t="shared" ref="E394:G394" si="248">E395+E396</f>
        <v>5235879.8085119994</v>
      </c>
      <c r="F394" s="201">
        <f t="shared" si="248"/>
        <v>355891.77600000001</v>
      </c>
      <c r="G394" s="201">
        <f t="shared" si="248"/>
        <v>1526063.935488</v>
      </c>
      <c r="H394" s="228">
        <f>I394+J394+K394</f>
        <v>7117835.5199999996</v>
      </c>
      <c r="I394" s="201">
        <f t="shared" ref="I394:K394" si="249">I395+I396</f>
        <v>5235879.8099999996</v>
      </c>
      <c r="J394" s="201">
        <f t="shared" si="249"/>
        <v>355891.78</v>
      </c>
      <c r="K394" s="201">
        <f t="shared" si="249"/>
        <v>1526063.93</v>
      </c>
      <c r="L394" s="533"/>
      <c r="M394" s="654"/>
    </row>
    <row r="395" spans="1:13" s="364" customFormat="1" outlineLevel="1" x14ac:dyDescent="0.25">
      <c r="A395" s="246"/>
      <c r="B395" s="248" t="s">
        <v>555</v>
      </c>
      <c r="C395" s="509">
        <f>6512855.42+604980.1</f>
        <v>7117835.5199999996</v>
      </c>
      <c r="D395" s="249">
        <f t="shared" ref="D395" si="250">E395+F395+G395</f>
        <v>7117835.5199999996</v>
      </c>
      <c r="E395" s="250">
        <f>C395*0.7356</f>
        <v>5235879.8085119994</v>
      </c>
      <c r="F395" s="250">
        <f>C395*5%</f>
        <v>355891.77600000001</v>
      </c>
      <c r="G395" s="251">
        <f>C395-E395-F395</f>
        <v>1526063.935488</v>
      </c>
      <c r="H395" s="249">
        <f t="shared" ref="H395" si="251">I395+J395+K395</f>
        <v>7117835.5199999996</v>
      </c>
      <c r="I395" s="250">
        <v>5235879.8099999996</v>
      </c>
      <c r="J395" s="250">
        <v>355891.78</v>
      </c>
      <c r="K395" s="251">
        <v>1526063.93</v>
      </c>
      <c r="L395" s="270" t="s">
        <v>668</v>
      </c>
      <c r="M395" s="597"/>
    </row>
    <row r="396" spans="1:13" outlineLevel="1" x14ac:dyDescent="0.25">
      <c r="A396" s="332"/>
      <c r="B396" s="283" t="s">
        <v>67</v>
      </c>
      <c r="C396" s="724"/>
      <c r="D396" s="583"/>
      <c r="E396" s="202"/>
      <c r="F396" s="202"/>
      <c r="G396" s="265"/>
      <c r="H396" s="53"/>
      <c r="I396" s="11"/>
      <c r="J396" s="11"/>
      <c r="K396" s="106"/>
      <c r="L396" s="27"/>
    </row>
    <row r="397" spans="1:13" s="566" customFormat="1" ht="36.75" customHeight="1" x14ac:dyDescent="0.2">
      <c r="A397" s="286">
        <v>106</v>
      </c>
      <c r="B397" s="525" t="s">
        <v>495</v>
      </c>
      <c r="C397" s="621">
        <f>C398+C399</f>
        <v>1667625.63</v>
      </c>
      <c r="D397" s="621">
        <f t="shared" ref="D397:K397" si="252">D398+D399</f>
        <v>1667625.6300000001</v>
      </c>
      <c r="E397" s="621">
        <f t="shared" si="252"/>
        <v>1304766.965142</v>
      </c>
      <c r="F397" s="621">
        <f t="shared" si="252"/>
        <v>83381.282500000001</v>
      </c>
      <c r="G397" s="621">
        <f t="shared" si="252"/>
        <v>279477.38235799997</v>
      </c>
      <c r="H397" s="621">
        <f t="shared" si="252"/>
        <v>1667625.6300000001</v>
      </c>
      <c r="I397" s="621">
        <f t="shared" si="252"/>
        <v>1304766.97</v>
      </c>
      <c r="J397" s="621">
        <f t="shared" si="252"/>
        <v>83381.279999999999</v>
      </c>
      <c r="K397" s="621">
        <f t="shared" si="252"/>
        <v>279477.38</v>
      </c>
      <c r="L397" s="565"/>
      <c r="M397" s="651"/>
    </row>
    <row r="398" spans="1:13" s="364" customFormat="1" outlineLevel="1" x14ac:dyDescent="0.25">
      <c r="A398" s="246"/>
      <c r="B398" s="248" t="s">
        <v>555</v>
      </c>
      <c r="C398" s="509">
        <v>1553886.98</v>
      </c>
      <c r="D398" s="316">
        <f>SUM(E398:G398)</f>
        <v>1553886.9800000002</v>
      </c>
      <c r="E398" s="257">
        <v>1227756.8</v>
      </c>
      <c r="F398" s="257">
        <v>77694.350000000006</v>
      </c>
      <c r="G398" s="269">
        <v>248435.83</v>
      </c>
      <c r="H398" s="316">
        <f>SUM(I398:K398)</f>
        <v>1553886.9800000002</v>
      </c>
      <c r="I398" s="257">
        <v>1227756.8</v>
      </c>
      <c r="J398" s="257">
        <v>77694.350000000006</v>
      </c>
      <c r="K398" s="269">
        <v>248435.83</v>
      </c>
      <c r="L398" s="270" t="s">
        <v>846</v>
      </c>
      <c r="M398" s="597">
        <v>42618</v>
      </c>
    </row>
    <row r="399" spans="1:13" s="364" customFormat="1" outlineLevel="1" x14ac:dyDescent="0.25">
      <c r="A399" s="246"/>
      <c r="B399" s="248" t="s">
        <v>67</v>
      </c>
      <c r="C399" s="509">
        <v>113738.65</v>
      </c>
      <c r="D399" s="316">
        <f>E399+F399+G399</f>
        <v>113738.65</v>
      </c>
      <c r="E399" s="257">
        <f>C399*0.67708</f>
        <v>77010.165141999998</v>
      </c>
      <c r="F399" s="257">
        <f>C399*0.05</f>
        <v>5686.9324999999999</v>
      </c>
      <c r="G399" s="269">
        <f>C399-E399-F399</f>
        <v>31041.552357999997</v>
      </c>
      <c r="H399" s="316">
        <f>SUM(I399:K399)</f>
        <v>113738.65000000001</v>
      </c>
      <c r="I399" s="257">
        <v>77010.17</v>
      </c>
      <c r="J399" s="257">
        <v>5686.93</v>
      </c>
      <c r="K399" s="269">
        <v>31041.55</v>
      </c>
      <c r="L399" s="270" t="s">
        <v>822</v>
      </c>
      <c r="M399" s="597">
        <v>42495</v>
      </c>
    </row>
    <row r="400" spans="1:13" s="566" customFormat="1" ht="32.25" customHeight="1" x14ac:dyDescent="0.2">
      <c r="A400" s="286">
        <v>107</v>
      </c>
      <c r="B400" s="525" t="s">
        <v>496</v>
      </c>
      <c r="C400" s="401">
        <f>C401+C402</f>
        <v>10058455.059999999</v>
      </c>
      <c r="D400" s="288">
        <f>E400+F400+G400</f>
        <v>10058455.059999999</v>
      </c>
      <c r="E400" s="289">
        <f t="shared" ref="E400:G400" si="253">E401+E402</f>
        <v>6810378.7520247996</v>
      </c>
      <c r="F400" s="289">
        <f t="shared" si="253"/>
        <v>502922.75299999997</v>
      </c>
      <c r="G400" s="289">
        <f t="shared" si="253"/>
        <v>2745153.5549752</v>
      </c>
      <c r="H400" s="288">
        <f>I400+J400+K400</f>
        <v>10058455.059999999</v>
      </c>
      <c r="I400" s="289">
        <f t="shared" ref="I400:K400" si="254">I401+I402</f>
        <v>6810378.7599999998</v>
      </c>
      <c r="J400" s="289">
        <f t="shared" si="254"/>
        <v>502922.75</v>
      </c>
      <c r="K400" s="289">
        <f t="shared" si="254"/>
        <v>2745153.55</v>
      </c>
      <c r="L400" s="565"/>
      <c r="M400" s="651"/>
    </row>
    <row r="401" spans="1:13" s="364" customFormat="1" outlineLevel="1" x14ac:dyDescent="0.25">
      <c r="A401" s="246"/>
      <c r="B401" s="248" t="s">
        <v>555</v>
      </c>
      <c r="C401" s="509">
        <v>9923016.459999999</v>
      </c>
      <c r="D401" s="316">
        <f>E401+F401+G401</f>
        <v>9923016.459999999</v>
      </c>
      <c r="E401" s="257">
        <f>C401*0.67708</f>
        <v>6718675.9847367993</v>
      </c>
      <c r="F401" s="257">
        <f>C401*0.05</f>
        <v>496150.82299999997</v>
      </c>
      <c r="G401" s="269">
        <f>C401-E401-F401</f>
        <v>2708189.6522631999</v>
      </c>
      <c r="H401" s="316">
        <f>I401+J401+K401</f>
        <v>9923016.4600000009</v>
      </c>
      <c r="I401" s="257">
        <v>6718675.9900000002</v>
      </c>
      <c r="J401" s="257">
        <v>496150.82</v>
      </c>
      <c r="K401" s="269">
        <v>2708189.65</v>
      </c>
      <c r="L401" s="270" t="s">
        <v>754</v>
      </c>
      <c r="M401" s="597"/>
    </row>
    <row r="402" spans="1:13" s="364" customFormat="1" outlineLevel="1" x14ac:dyDescent="0.25">
      <c r="A402" s="246"/>
      <c r="B402" s="248" t="s">
        <v>67</v>
      </c>
      <c r="C402" s="509">
        <v>135438.6</v>
      </c>
      <c r="D402" s="316">
        <f>E402+F402+G402</f>
        <v>135438.6</v>
      </c>
      <c r="E402" s="257">
        <f>C402*0.67708</f>
        <v>91702.767288000003</v>
      </c>
      <c r="F402" s="257">
        <f>C402*0.05</f>
        <v>6771.93</v>
      </c>
      <c r="G402" s="269">
        <f>C402-E402-F402</f>
        <v>36963.902712000003</v>
      </c>
      <c r="H402" s="316">
        <f>SUM(I402:K402)</f>
        <v>135438.6</v>
      </c>
      <c r="I402" s="257">
        <v>91702.77</v>
      </c>
      <c r="J402" s="257">
        <v>6771.93</v>
      </c>
      <c r="K402" s="269">
        <v>36963.9</v>
      </c>
      <c r="L402" s="270" t="s">
        <v>822</v>
      </c>
      <c r="M402" s="597">
        <v>42495</v>
      </c>
    </row>
    <row r="403" spans="1:13" s="68" customFormat="1" ht="27.75" customHeight="1" x14ac:dyDescent="0.2">
      <c r="A403" s="330">
        <v>108</v>
      </c>
      <c r="B403" s="333" t="s">
        <v>497</v>
      </c>
      <c r="C403" s="532">
        <f>C404+C405+C406</f>
        <v>71669.11</v>
      </c>
      <c r="D403" s="228">
        <f>E403+F403+G403</f>
        <v>71669.11</v>
      </c>
      <c r="E403" s="532">
        <f t="shared" ref="E403" si="255">E404+E405+E406</f>
        <v>48525.720998800003</v>
      </c>
      <c r="F403" s="532">
        <f t="shared" ref="F403" si="256">F404+F405+F406</f>
        <v>3583.4555</v>
      </c>
      <c r="G403" s="532">
        <f t="shared" ref="G403" si="257">G404+G405+G406</f>
        <v>19559.933501199997</v>
      </c>
      <c r="H403" s="228">
        <f>I403+J403+K403</f>
        <v>71669.11</v>
      </c>
      <c r="I403" s="532">
        <f t="shared" ref="I403" si="258">I404+I405+I406</f>
        <v>48525.72</v>
      </c>
      <c r="J403" s="532">
        <f t="shared" ref="J403" si="259">J404+J405+J406</f>
        <v>3583.46</v>
      </c>
      <c r="K403" s="532">
        <f t="shared" ref="K403" si="260">K404+K405+K406</f>
        <v>19559.93</v>
      </c>
      <c r="L403" s="321"/>
      <c r="M403" s="652"/>
    </row>
    <row r="404" spans="1:13" outlineLevel="1" x14ac:dyDescent="0.25">
      <c r="A404" s="332"/>
      <c r="B404" s="16" t="s">
        <v>555</v>
      </c>
      <c r="C404" s="508"/>
      <c r="D404" s="53"/>
      <c r="E404" s="11"/>
      <c r="F404" s="11"/>
      <c r="G404" s="106"/>
      <c r="H404" s="53"/>
      <c r="I404" s="11"/>
      <c r="J404" s="11"/>
      <c r="K404" s="106"/>
      <c r="L404" s="27"/>
    </row>
    <row r="405" spans="1:13" outlineLevel="1" x14ac:dyDescent="0.25">
      <c r="A405" s="332"/>
      <c r="B405" s="16" t="s">
        <v>554</v>
      </c>
      <c r="C405" s="508"/>
      <c r="D405" s="53"/>
      <c r="E405" s="11"/>
      <c r="F405" s="11"/>
      <c r="G405" s="106"/>
      <c r="H405" s="53"/>
      <c r="I405" s="11"/>
      <c r="J405" s="11"/>
      <c r="K405" s="106"/>
      <c r="L405" s="27"/>
    </row>
    <row r="406" spans="1:13" s="364" customFormat="1" outlineLevel="1" x14ac:dyDescent="0.25">
      <c r="A406" s="246"/>
      <c r="B406" s="248" t="s">
        <v>67</v>
      </c>
      <c r="C406" s="509">
        <v>71669.11</v>
      </c>
      <c r="D406" s="316">
        <f>E406+F406+G406</f>
        <v>71669.11</v>
      </c>
      <c r="E406" s="257">
        <f>C406*0.67708</f>
        <v>48525.720998800003</v>
      </c>
      <c r="F406" s="257">
        <f>C406*0.05</f>
        <v>3583.4555</v>
      </c>
      <c r="G406" s="269">
        <f>C406-E406-F406</f>
        <v>19559.933501199997</v>
      </c>
      <c r="H406" s="316">
        <f>SUM(I406:K406)</f>
        <v>71669.11</v>
      </c>
      <c r="I406" s="257">
        <v>48525.72</v>
      </c>
      <c r="J406" s="257">
        <v>3583.46</v>
      </c>
      <c r="K406" s="269">
        <v>19559.93</v>
      </c>
      <c r="L406" s="270" t="s">
        <v>822</v>
      </c>
      <c r="M406" s="597">
        <v>42495</v>
      </c>
    </row>
    <row r="407" spans="1:13" s="68" customFormat="1" ht="30.75" customHeight="1" x14ac:dyDescent="0.2">
      <c r="A407" s="330">
        <v>109</v>
      </c>
      <c r="B407" s="333" t="s">
        <v>498</v>
      </c>
      <c r="C407" s="507"/>
      <c r="D407" s="323"/>
      <c r="E407" s="189"/>
      <c r="F407" s="189"/>
      <c r="G407" s="324"/>
      <c r="H407" s="323"/>
      <c r="I407" s="189"/>
      <c r="J407" s="189"/>
      <c r="K407" s="324"/>
      <c r="L407" s="321"/>
      <c r="M407" s="652"/>
    </row>
    <row r="408" spans="1:13" outlineLevel="1" x14ac:dyDescent="0.25">
      <c r="A408" s="332"/>
      <c r="B408" s="16" t="s">
        <v>555</v>
      </c>
      <c r="C408" s="508"/>
      <c r="D408" s="53"/>
      <c r="E408" s="11"/>
      <c r="F408" s="11"/>
      <c r="G408" s="106"/>
      <c r="H408" s="53"/>
      <c r="I408" s="11"/>
      <c r="J408" s="11"/>
      <c r="K408" s="106"/>
      <c r="L408" s="27"/>
    </row>
    <row r="409" spans="1:13" outlineLevel="1" x14ac:dyDescent="0.25">
      <c r="A409" s="332"/>
      <c r="B409" s="16" t="s">
        <v>557</v>
      </c>
      <c r="C409" s="508"/>
      <c r="D409" s="53"/>
      <c r="E409" s="11"/>
      <c r="F409" s="11"/>
      <c r="G409" s="106"/>
      <c r="H409" s="53"/>
      <c r="I409" s="11"/>
      <c r="J409" s="11"/>
      <c r="K409" s="106"/>
      <c r="L409" s="27"/>
    </row>
    <row r="410" spans="1:13" outlineLevel="1" x14ac:dyDescent="0.25">
      <c r="A410" s="332"/>
      <c r="B410" s="16" t="s">
        <v>554</v>
      </c>
      <c r="C410" s="508"/>
      <c r="D410" s="53"/>
      <c r="E410" s="11"/>
      <c r="F410" s="11"/>
      <c r="G410" s="106"/>
      <c r="H410" s="53"/>
      <c r="I410" s="11"/>
      <c r="J410" s="11"/>
      <c r="K410" s="106"/>
      <c r="L410" s="27"/>
    </row>
    <row r="411" spans="1:13" outlineLevel="1" x14ac:dyDescent="0.25">
      <c r="A411" s="332"/>
      <c r="B411" s="16" t="s">
        <v>67</v>
      </c>
      <c r="C411" s="508"/>
      <c r="D411" s="53"/>
      <c r="E411" s="11"/>
      <c r="F411" s="11"/>
      <c r="G411" s="106"/>
      <c r="H411" s="53"/>
      <c r="I411" s="11"/>
      <c r="J411" s="11"/>
      <c r="K411" s="106"/>
      <c r="L411" s="27"/>
    </row>
    <row r="412" spans="1:13" s="566" customFormat="1" ht="30" customHeight="1" x14ac:dyDescent="0.2">
      <c r="A412" s="286">
        <v>110</v>
      </c>
      <c r="B412" s="525" t="s">
        <v>499</v>
      </c>
      <c r="C412" s="621">
        <f>C413+C414</f>
        <v>9993299.1799999997</v>
      </c>
      <c r="D412" s="621">
        <f t="shared" ref="D412:K412" si="261">D413+D414</f>
        <v>9993299.1799999997</v>
      </c>
      <c r="E412" s="621">
        <f t="shared" si="261"/>
        <v>7818857.21</v>
      </c>
      <c r="F412" s="621">
        <f t="shared" si="261"/>
        <v>99932.99</v>
      </c>
      <c r="G412" s="621">
        <f t="shared" si="261"/>
        <v>2074508.98</v>
      </c>
      <c r="H412" s="621">
        <f t="shared" si="261"/>
        <v>9993299.1799999997</v>
      </c>
      <c r="I412" s="621">
        <f t="shared" si="261"/>
        <v>7818857.21</v>
      </c>
      <c r="J412" s="621">
        <f t="shared" si="261"/>
        <v>99932.99</v>
      </c>
      <c r="K412" s="621">
        <f t="shared" si="261"/>
        <v>2074508.98</v>
      </c>
      <c r="L412" s="565"/>
      <c r="M412" s="651"/>
    </row>
    <row r="413" spans="1:13" s="364" customFormat="1" outlineLevel="1" x14ac:dyDescent="0.25">
      <c r="A413" s="246"/>
      <c r="B413" s="248" t="s">
        <v>555</v>
      </c>
      <c r="C413" s="509">
        <v>9897038.7799999993</v>
      </c>
      <c r="D413" s="316">
        <f>SUM(E413:G413)</f>
        <v>9897038.7799999993</v>
      </c>
      <c r="E413" s="257">
        <v>7753681.2183680004</v>
      </c>
      <c r="F413" s="257">
        <v>95119.97</v>
      </c>
      <c r="G413" s="269">
        <v>2048237.5916319999</v>
      </c>
      <c r="H413" s="316">
        <f>SUM(I413:K413)</f>
        <v>9897038.7799999993</v>
      </c>
      <c r="I413" s="257">
        <v>7753681.2199999997</v>
      </c>
      <c r="J413" s="257">
        <v>95119.97</v>
      </c>
      <c r="K413" s="269">
        <v>2048237.59</v>
      </c>
      <c r="L413" s="270" t="s">
        <v>833</v>
      </c>
      <c r="M413" s="597">
        <v>42605</v>
      </c>
    </row>
    <row r="414" spans="1:13" s="364" customFormat="1" outlineLevel="1" x14ac:dyDescent="0.25">
      <c r="A414" s="246"/>
      <c r="B414" s="248" t="s">
        <v>67</v>
      </c>
      <c r="C414" s="509">
        <v>96260.4</v>
      </c>
      <c r="D414" s="316">
        <f>E414+F414+G414</f>
        <v>96260.4</v>
      </c>
      <c r="E414" s="257">
        <f>C414*0.67708</f>
        <v>65175.991631999997</v>
      </c>
      <c r="F414" s="257">
        <f>C414*0.05</f>
        <v>4813.0199999999995</v>
      </c>
      <c r="G414" s="269">
        <f>C414-E414-F414</f>
        <v>26271.388367999996</v>
      </c>
      <c r="H414" s="316">
        <f>SUM(I414:K414)</f>
        <v>96260.4</v>
      </c>
      <c r="I414" s="257">
        <v>65175.99</v>
      </c>
      <c r="J414" s="257">
        <v>4813.0200000000004</v>
      </c>
      <c r="K414" s="269">
        <v>26271.39</v>
      </c>
      <c r="L414" s="270" t="s">
        <v>822</v>
      </c>
      <c r="M414" s="597">
        <v>42495</v>
      </c>
    </row>
    <row r="415" spans="1:13" s="566" customFormat="1" ht="35.25" customHeight="1" x14ac:dyDescent="0.2">
      <c r="A415" s="286">
        <v>111</v>
      </c>
      <c r="B415" s="525" t="s">
        <v>500</v>
      </c>
      <c r="C415" s="621">
        <f>C416+C417</f>
        <v>10132496.389999999</v>
      </c>
      <c r="D415" s="621">
        <f t="shared" ref="D415:K415" si="262">D416+D417</f>
        <v>10132496.389999997</v>
      </c>
      <c r="E415" s="621">
        <f t="shared" si="262"/>
        <v>7927766.4999999981</v>
      </c>
      <c r="F415" s="621">
        <f t="shared" si="262"/>
        <v>101324.95999999999</v>
      </c>
      <c r="G415" s="621">
        <f t="shared" si="262"/>
        <v>2103404.9299999997</v>
      </c>
      <c r="H415" s="621">
        <f t="shared" si="262"/>
        <v>10132496.389999999</v>
      </c>
      <c r="I415" s="621">
        <f t="shared" si="262"/>
        <v>7927766.5</v>
      </c>
      <c r="J415" s="621">
        <f t="shared" si="262"/>
        <v>101324.95999999999</v>
      </c>
      <c r="K415" s="621">
        <f t="shared" si="262"/>
        <v>2103404.9300000002</v>
      </c>
      <c r="L415" s="565"/>
      <c r="M415" s="651"/>
    </row>
    <row r="416" spans="1:13" s="364" customFormat="1" outlineLevel="1" x14ac:dyDescent="0.25">
      <c r="A416" s="246"/>
      <c r="B416" s="248" t="s">
        <v>555</v>
      </c>
      <c r="C416" s="509">
        <v>10037377.359999999</v>
      </c>
      <c r="D416" s="316">
        <f>SUM(E416:G416)</f>
        <v>10037377.359999998</v>
      </c>
      <c r="E416" s="257">
        <v>7863363.307167598</v>
      </c>
      <c r="F416" s="257">
        <v>96569.008499999996</v>
      </c>
      <c r="G416" s="269">
        <v>2077445.0443323997</v>
      </c>
      <c r="H416" s="316">
        <f>SUM(I416:K416)</f>
        <v>10037377.359999999</v>
      </c>
      <c r="I416" s="257">
        <v>7863363.3099999996</v>
      </c>
      <c r="J416" s="257">
        <v>96569.01</v>
      </c>
      <c r="K416" s="269">
        <v>2077445.04</v>
      </c>
      <c r="L416" s="270" t="s">
        <v>833</v>
      </c>
      <c r="M416" s="597">
        <v>42605</v>
      </c>
    </row>
    <row r="417" spans="1:13" s="364" customFormat="1" outlineLevel="1" x14ac:dyDescent="0.25">
      <c r="A417" s="246"/>
      <c r="B417" s="248" t="s">
        <v>67</v>
      </c>
      <c r="C417" s="509">
        <v>95119.03</v>
      </c>
      <c r="D417" s="316">
        <f>E417+F417+G417</f>
        <v>95119.03</v>
      </c>
      <c r="E417" s="257">
        <f>C417*0.67708</f>
        <v>64403.192832400004</v>
      </c>
      <c r="F417" s="257">
        <f>C417*0.05</f>
        <v>4755.9515000000001</v>
      </c>
      <c r="G417" s="269">
        <f>C417-E417-F417</f>
        <v>25959.885667599996</v>
      </c>
      <c r="H417" s="316">
        <f>SUM(I417:K417)</f>
        <v>95119.03</v>
      </c>
      <c r="I417" s="257">
        <v>64403.19</v>
      </c>
      <c r="J417" s="257">
        <v>4755.95</v>
      </c>
      <c r="K417" s="269">
        <v>25959.89</v>
      </c>
      <c r="L417" s="270" t="s">
        <v>822</v>
      </c>
      <c r="M417" s="597">
        <v>42495</v>
      </c>
    </row>
    <row r="418" spans="1:13" s="68" customFormat="1" ht="25.5" customHeight="1" x14ac:dyDescent="0.2">
      <c r="A418" s="330">
        <v>112</v>
      </c>
      <c r="B418" s="333" t="s">
        <v>501</v>
      </c>
      <c r="C418" s="532">
        <f>C419+C420</f>
        <v>9324476.8200000003</v>
      </c>
      <c r="D418" s="532">
        <f t="shared" ref="D418:K418" si="263">D419+D420</f>
        <v>9324476.8200000003</v>
      </c>
      <c r="E418" s="532">
        <f t="shared" si="263"/>
        <v>7295563.9100000001</v>
      </c>
      <c r="F418" s="532">
        <f t="shared" si="263"/>
        <v>466223.84</v>
      </c>
      <c r="G418" s="532">
        <f t="shared" si="263"/>
        <v>1562689.07</v>
      </c>
      <c r="H418" s="532">
        <f t="shared" si="263"/>
        <v>9324476.8200000003</v>
      </c>
      <c r="I418" s="532">
        <f t="shared" si="263"/>
        <v>7295563.9100000001</v>
      </c>
      <c r="J418" s="532">
        <f t="shared" si="263"/>
        <v>466223.84</v>
      </c>
      <c r="K418" s="532">
        <f t="shared" si="263"/>
        <v>1562689.07</v>
      </c>
      <c r="L418" s="321"/>
      <c r="M418" s="652"/>
    </row>
    <row r="419" spans="1:13" s="364" customFormat="1" outlineLevel="1" x14ac:dyDescent="0.25">
      <c r="A419" s="246"/>
      <c r="B419" s="248" t="s">
        <v>555</v>
      </c>
      <c r="C419" s="509">
        <v>9324476.8200000003</v>
      </c>
      <c r="D419" s="316">
        <f>SUM(E419:G419)</f>
        <v>9324476.8200000003</v>
      </c>
      <c r="E419" s="257">
        <v>7295563.9100000001</v>
      </c>
      <c r="F419" s="257">
        <v>466223.84</v>
      </c>
      <c r="G419" s="269">
        <v>1562689.07</v>
      </c>
      <c r="H419" s="316">
        <f>SUM(I419:K419)</f>
        <v>9324476.8200000003</v>
      </c>
      <c r="I419" s="257">
        <v>7295563.9100000001</v>
      </c>
      <c r="J419" s="257">
        <v>466223.84</v>
      </c>
      <c r="K419" s="269">
        <v>1562689.07</v>
      </c>
      <c r="L419" s="270" t="s">
        <v>701</v>
      </c>
      <c r="M419" s="597">
        <v>42605</v>
      </c>
    </row>
    <row r="420" spans="1:13" outlineLevel="1" x14ac:dyDescent="0.25">
      <c r="A420" s="332"/>
      <c r="B420" s="16" t="s">
        <v>67</v>
      </c>
      <c r="C420" s="508"/>
      <c r="D420" s="53"/>
      <c r="E420" s="11"/>
      <c r="F420" s="11"/>
      <c r="G420" s="106"/>
      <c r="H420" s="53"/>
      <c r="I420" s="11"/>
      <c r="J420" s="11"/>
      <c r="K420" s="106"/>
      <c r="L420" s="27"/>
    </row>
    <row r="421" spans="1:13" s="68" customFormat="1" ht="30" customHeight="1" x14ac:dyDescent="0.2">
      <c r="A421" s="330">
        <v>113</v>
      </c>
      <c r="B421" s="333" t="s">
        <v>502</v>
      </c>
      <c r="C421" s="532">
        <f>C422+C423+C424</f>
        <v>133653.59</v>
      </c>
      <c r="D421" s="228">
        <f>E421+F421+G421</f>
        <v>133653.59</v>
      </c>
      <c r="E421" s="532">
        <f t="shared" ref="E421" si="264">E422+E423+E424</f>
        <v>90494.172717199996</v>
      </c>
      <c r="F421" s="532">
        <f t="shared" ref="F421" si="265">F422+F423+F424</f>
        <v>6682.6795000000002</v>
      </c>
      <c r="G421" s="532">
        <f t="shared" ref="G421" si="266">G422+G423+G424</f>
        <v>36476.737782800003</v>
      </c>
      <c r="H421" s="228">
        <f>I421+J421+K421</f>
        <v>133653.59</v>
      </c>
      <c r="I421" s="532">
        <f t="shared" ref="I421" si="267">I422+I423+I424</f>
        <v>90494.17</v>
      </c>
      <c r="J421" s="532">
        <f t="shared" ref="J421" si="268">J422+J423+J424</f>
        <v>6682.68</v>
      </c>
      <c r="K421" s="532">
        <f t="shared" ref="K421" si="269">K422+K423+K424</f>
        <v>36476.74</v>
      </c>
      <c r="L421" s="321"/>
      <c r="M421" s="652"/>
    </row>
    <row r="422" spans="1:13" outlineLevel="1" x14ac:dyDescent="0.25">
      <c r="A422" s="332"/>
      <c r="B422" s="16" t="s">
        <v>555</v>
      </c>
      <c r="C422" s="508"/>
      <c r="D422" s="53"/>
      <c r="E422" s="11"/>
      <c r="F422" s="11"/>
      <c r="G422" s="106"/>
      <c r="H422" s="53"/>
      <c r="I422" s="11"/>
      <c r="J422" s="11"/>
      <c r="K422" s="106"/>
      <c r="L422" s="27"/>
    </row>
    <row r="423" spans="1:13" outlineLevel="1" x14ac:dyDescent="0.25">
      <c r="A423" s="332"/>
      <c r="B423" s="16" t="s">
        <v>554</v>
      </c>
      <c r="C423" s="508"/>
      <c r="D423" s="53"/>
      <c r="E423" s="11"/>
      <c r="F423" s="11"/>
      <c r="G423" s="106"/>
      <c r="H423" s="53"/>
      <c r="I423" s="11"/>
      <c r="J423" s="11"/>
      <c r="K423" s="106"/>
      <c r="L423" s="27"/>
    </row>
    <row r="424" spans="1:13" s="364" customFormat="1" outlineLevel="1" x14ac:dyDescent="0.25">
      <c r="A424" s="246"/>
      <c r="B424" s="248" t="s">
        <v>67</v>
      </c>
      <c r="C424" s="509">
        <v>133653.59</v>
      </c>
      <c r="D424" s="316">
        <f>E424+F424+G424</f>
        <v>133653.59</v>
      </c>
      <c r="E424" s="257">
        <f>C424*0.67708</f>
        <v>90494.172717199996</v>
      </c>
      <c r="F424" s="257">
        <f>C424*0.05</f>
        <v>6682.6795000000002</v>
      </c>
      <c r="G424" s="269">
        <f>C424-E424-F424</f>
        <v>36476.737782800003</v>
      </c>
      <c r="H424" s="316">
        <f>SUM(I424:K424)</f>
        <v>133653.59</v>
      </c>
      <c r="I424" s="257">
        <v>90494.17</v>
      </c>
      <c r="J424" s="257">
        <v>6682.68</v>
      </c>
      <c r="K424" s="269">
        <v>36476.74</v>
      </c>
      <c r="L424" s="270" t="s">
        <v>822</v>
      </c>
      <c r="M424" s="597">
        <v>42495</v>
      </c>
    </row>
    <row r="425" spans="1:13" s="68" customFormat="1" ht="33" customHeight="1" x14ac:dyDescent="0.2">
      <c r="A425" s="330">
        <v>114</v>
      </c>
      <c r="B425" s="333" t="s">
        <v>503</v>
      </c>
      <c r="C425" s="532">
        <f>C426+C427+C428</f>
        <v>100362.69</v>
      </c>
      <c r="D425" s="228">
        <f>E425+F425+G425</f>
        <v>100362.69</v>
      </c>
      <c r="E425" s="532">
        <f t="shared" ref="E425" si="270">E426+E427+E428</f>
        <v>67953.570145200007</v>
      </c>
      <c r="F425" s="532">
        <f t="shared" ref="F425" si="271">F426+F427+F428</f>
        <v>5018.1345000000001</v>
      </c>
      <c r="G425" s="532">
        <f t="shared" ref="G425" si="272">G426+G427+G428</f>
        <v>27390.985354799996</v>
      </c>
      <c r="H425" s="228">
        <f>I425+J425+K425</f>
        <v>100362.69000000002</v>
      </c>
      <c r="I425" s="532">
        <f t="shared" ref="I425" si="273">I426+I427+I428</f>
        <v>67953.570000000007</v>
      </c>
      <c r="J425" s="532">
        <f t="shared" ref="J425" si="274">J426+J427+J428</f>
        <v>5018.13</v>
      </c>
      <c r="K425" s="532">
        <f t="shared" ref="K425" si="275">K426+K427+K428</f>
        <v>27390.99</v>
      </c>
      <c r="L425" s="321"/>
      <c r="M425" s="652"/>
    </row>
    <row r="426" spans="1:13" outlineLevel="1" x14ac:dyDescent="0.25">
      <c r="A426" s="332"/>
      <c r="B426" s="16" t="s">
        <v>555</v>
      </c>
      <c r="C426" s="508"/>
      <c r="D426" s="53"/>
      <c r="E426" s="11"/>
      <c r="F426" s="11"/>
      <c r="G426" s="106"/>
      <c r="H426" s="53"/>
      <c r="I426" s="11"/>
      <c r="J426" s="11"/>
      <c r="K426" s="106"/>
      <c r="L426" s="27"/>
    </row>
    <row r="427" spans="1:13" outlineLevel="1" x14ac:dyDescent="0.25">
      <c r="A427" s="332"/>
      <c r="B427" s="16" t="s">
        <v>554</v>
      </c>
      <c r="C427" s="508"/>
      <c r="D427" s="53"/>
      <c r="E427" s="11"/>
      <c r="F427" s="11"/>
      <c r="G427" s="106"/>
      <c r="H427" s="53"/>
      <c r="I427" s="11"/>
      <c r="J427" s="11"/>
      <c r="K427" s="106"/>
      <c r="L427" s="27"/>
    </row>
    <row r="428" spans="1:13" s="364" customFormat="1" outlineLevel="1" x14ac:dyDescent="0.25">
      <c r="A428" s="246"/>
      <c r="B428" s="248" t="s">
        <v>67</v>
      </c>
      <c r="C428" s="509">
        <v>100362.69</v>
      </c>
      <c r="D428" s="316">
        <f t="shared" ref="D428:D436" si="276">E428+F428+G428</f>
        <v>100362.69</v>
      </c>
      <c r="E428" s="257">
        <f>C428*0.67708</f>
        <v>67953.570145200007</v>
      </c>
      <c r="F428" s="257">
        <f>C428*0.05</f>
        <v>5018.1345000000001</v>
      </c>
      <c r="G428" s="269">
        <f>C428-E428-F428</f>
        <v>27390.985354799996</v>
      </c>
      <c r="H428" s="316">
        <f>SUM(I428:K428)</f>
        <v>100362.69000000002</v>
      </c>
      <c r="I428" s="257">
        <v>67953.570000000007</v>
      </c>
      <c r="J428" s="257">
        <v>5018.13</v>
      </c>
      <c r="K428" s="269">
        <v>27390.99</v>
      </c>
      <c r="L428" s="270" t="s">
        <v>822</v>
      </c>
      <c r="M428" s="597">
        <v>42495</v>
      </c>
    </row>
    <row r="429" spans="1:13" s="566" customFormat="1" ht="34.5" customHeight="1" x14ac:dyDescent="0.2">
      <c r="A429" s="286">
        <v>115</v>
      </c>
      <c r="B429" s="525" t="s">
        <v>504</v>
      </c>
      <c r="C429" s="287">
        <f>SUM(C430:C431)</f>
        <v>9034918.5800000001</v>
      </c>
      <c r="D429" s="288">
        <f t="shared" si="276"/>
        <v>9034918.5800000001</v>
      </c>
      <c r="E429" s="289">
        <f>SUM(E430:E431)</f>
        <v>6287128.7922646003</v>
      </c>
      <c r="F429" s="289">
        <f>SUM(F430:F431)</f>
        <v>451745.92900000006</v>
      </c>
      <c r="G429" s="247">
        <f>SUM(G430:G431)</f>
        <v>2296043.8587353998</v>
      </c>
      <c r="H429" s="247">
        <f t="shared" ref="H429:K429" si="277">SUM(H430:H431)</f>
        <v>9034918.5800000001</v>
      </c>
      <c r="I429" s="247">
        <f t="shared" si="277"/>
        <v>6287128.79</v>
      </c>
      <c r="J429" s="247">
        <f t="shared" si="277"/>
        <v>451745.93</v>
      </c>
      <c r="K429" s="247">
        <f t="shared" si="277"/>
        <v>2296043.86</v>
      </c>
      <c r="L429" s="565"/>
      <c r="M429" s="651"/>
    </row>
    <row r="430" spans="1:13" s="364" customFormat="1" outlineLevel="1" x14ac:dyDescent="0.25">
      <c r="A430" s="246"/>
      <c r="B430" s="248" t="s">
        <v>555</v>
      </c>
      <c r="C430" s="509">
        <v>8935932.3200000003</v>
      </c>
      <c r="D430" s="316">
        <f t="shared" si="276"/>
        <v>8935932.3200000003</v>
      </c>
      <c r="E430" s="257">
        <f>C430*0.69587</f>
        <v>6218247.2235184005</v>
      </c>
      <c r="F430" s="257">
        <f>C430*0.05</f>
        <v>446796.61600000004</v>
      </c>
      <c r="G430" s="269">
        <f>C430-E430-F430</f>
        <v>2270888.4804815999</v>
      </c>
      <c r="H430" s="316">
        <f>I430+J430+K430</f>
        <v>8935932.3200000003</v>
      </c>
      <c r="I430" s="257">
        <v>6218247.2199999997</v>
      </c>
      <c r="J430" s="257">
        <v>446796.62</v>
      </c>
      <c r="K430" s="269">
        <v>2270888.48</v>
      </c>
      <c r="L430" s="270" t="s">
        <v>731</v>
      </c>
      <c r="M430" s="597"/>
    </row>
    <row r="431" spans="1:13" outlineLevel="1" x14ac:dyDescent="0.25">
      <c r="A431" s="246"/>
      <c r="B431" s="248" t="s">
        <v>67</v>
      </c>
      <c r="C431" s="509">
        <v>98986.26</v>
      </c>
      <c r="D431" s="316">
        <f t="shared" si="276"/>
        <v>98986.25999999998</v>
      </c>
      <c r="E431" s="257">
        <f>C431*0.69587</f>
        <v>68881.568746199991</v>
      </c>
      <c r="F431" s="257">
        <f>C431*0.05</f>
        <v>4949.3130000000001</v>
      </c>
      <c r="G431" s="269">
        <f>C431-E431-F431</f>
        <v>25155.378253800001</v>
      </c>
      <c r="H431" s="316">
        <f>SUM(I431:K431)</f>
        <v>98986.260000000009</v>
      </c>
      <c r="I431" s="257">
        <v>68881.570000000007</v>
      </c>
      <c r="J431" s="257">
        <v>4949.3100000000004</v>
      </c>
      <c r="K431" s="269">
        <v>25155.38</v>
      </c>
      <c r="L431" s="270" t="s">
        <v>822</v>
      </c>
      <c r="M431" s="597">
        <v>42495</v>
      </c>
    </row>
    <row r="432" spans="1:13" s="566" customFormat="1" ht="30" customHeight="1" x14ac:dyDescent="0.2">
      <c r="A432" s="286">
        <v>116</v>
      </c>
      <c r="B432" s="525" t="s">
        <v>505</v>
      </c>
      <c r="C432" s="287">
        <f>SUM(C433:C434)</f>
        <v>8851685.9500000011</v>
      </c>
      <c r="D432" s="288">
        <f t="shared" si="276"/>
        <v>8851685.9499999993</v>
      </c>
      <c r="E432" s="289">
        <f>SUM(E433:E434)</f>
        <v>6159622.7020264994</v>
      </c>
      <c r="F432" s="289">
        <f>SUM(F433:F434)</f>
        <v>442584.29749999999</v>
      </c>
      <c r="G432" s="247">
        <f>SUM(G433:G434)</f>
        <v>2249478.9504735004</v>
      </c>
      <c r="H432" s="288">
        <f>I432+J432+K432</f>
        <v>8851685.9499999993</v>
      </c>
      <c r="I432" s="289">
        <f>SUM(I433:I434)</f>
        <v>6159622.6899999995</v>
      </c>
      <c r="J432" s="289">
        <f>SUM(J433:J434)</f>
        <v>442584.3</v>
      </c>
      <c r="K432" s="247">
        <f>SUM(K433:K434)</f>
        <v>2249478.96</v>
      </c>
      <c r="L432" s="565"/>
      <c r="M432" s="651"/>
    </row>
    <row r="433" spans="1:13" s="364" customFormat="1" outlineLevel="1" x14ac:dyDescent="0.25">
      <c r="A433" s="246"/>
      <c r="B433" s="248" t="s">
        <v>555</v>
      </c>
      <c r="C433" s="509">
        <v>8752553.2400000002</v>
      </c>
      <c r="D433" s="316">
        <f t="shared" si="276"/>
        <v>8752553.2400000002</v>
      </c>
      <c r="E433" s="257">
        <f>C433*0.69587</f>
        <v>6090639.2231187997</v>
      </c>
      <c r="F433" s="257">
        <f>C433*0.05</f>
        <v>437627.66200000001</v>
      </c>
      <c r="G433" s="269">
        <f>C433-E433-F433</f>
        <v>2224286.3548812005</v>
      </c>
      <c r="H433" s="316">
        <f>I433+J433+K433</f>
        <v>8752553.2400000002</v>
      </c>
      <c r="I433" s="257">
        <v>6090639.2199999997</v>
      </c>
      <c r="J433" s="257">
        <v>437627.66</v>
      </c>
      <c r="K433" s="269">
        <v>2224286.36</v>
      </c>
      <c r="L433" s="270" t="s">
        <v>732</v>
      </c>
      <c r="M433" s="597"/>
    </row>
    <row r="434" spans="1:13" outlineLevel="1" x14ac:dyDescent="0.25">
      <c r="A434" s="246"/>
      <c r="B434" s="248" t="s">
        <v>67</v>
      </c>
      <c r="C434" s="509">
        <v>99132.71</v>
      </c>
      <c r="D434" s="316">
        <f t="shared" si="276"/>
        <v>99132.71</v>
      </c>
      <c r="E434" s="257">
        <f>C434*0.69587</f>
        <v>68983.478907700002</v>
      </c>
      <c r="F434" s="257">
        <f>C434*0.05</f>
        <v>4956.6355000000003</v>
      </c>
      <c r="G434" s="269">
        <f>C434-E434-F434</f>
        <v>25192.595592300004</v>
      </c>
      <c r="H434" s="316">
        <f>SUM(I434:K434)</f>
        <v>99132.709999999992</v>
      </c>
      <c r="I434" s="257">
        <v>68983.47</v>
      </c>
      <c r="J434" s="257">
        <v>4956.6400000000003</v>
      </c>
      <c r="K434" s="269">
        <v>25192.6</v>
      </c>
      <c r="L434" s="270" t="s">
        <v>822</v>
      </c>
      <c r="M434" s="597">
        <v>42495</v>
      </c>
    </row>
    <row r="435" spans="1:13" s="68" customFormat="1" ht="27" customHeight="1" x14ac:dyDescent="0.2">
      <c r="A435" s="330">
        <v>117</v>
      </c>
      <c r="B435" s="333" t="s">
        <v>506</v>
      </c>
      <c r="C435" s="58">
        <f>SUM(C436:C437)</f>
        <v>9793335.5</v>
      </c>
      <c r="D435" s="40">
        <f t="shared" si="276"/>
        <v>9793335.5</v>
      </c>
      <c r="E435" s="75">
        <f>SUM(E436:E437)</f>
        <v>6630871.6003400004</v>
      </c>
      <c r="F435" s="75">
        <f>SUM(F436:F437)</f>
        <v>489666.77500000002</v>
      </c>
      <c r="G435" s="80">
        <f>SUM(G436:G437)</f>
        <v>2672797.1246599997</v>
      </c>
      <c r="H435" s="40">
        <f>I435+J435+K435</f>
        <v>9793335.5</v>
      </c>
      <c r="I435" s="75">
        <f>SUM(I436:I437)</f>
        <v>6630871.5999999996</v>
      </c>
      <c r="J435" s="75">
        <f>SUM(J436:J437)</f>
        <v>489666.78</v>
      </c>
      <c r="K435" s="80">
        <f>SUM(K436:K437)</f>
        <v>2672797.12</v>
      </c>
      <c r="L435" s="321"/>
      <c r="M435" s="652"/>
    </row>
    <row r="436" spans="1:13" s="364" customFormat="1" outlineLevel="1" x14ac:dyDescent="0.25">
      <c r="A436" s="246"/>
      <c r="B436" s="248" t="s">
        <v>555</v>
      </c>
      <c r="C436" s="509">
        <v>9793335.5</v>
      </c>
      <c r="D436" s="316">
        <f t="shared" si="276"/>
        <v>9793335.5</v>
      </c>
      <c r="E436" s="257">
        <f>C436*0.67708</f>
        <v>6630871.6003400004</v>
      </c>
      <c r="F436" s="257">
        <f>C436*5%</f>
        <v>489666.77500000002</v>
      </c>
      <c r="G436" s="269">
        <f>C436-E436-F436</f>
        <v>2672797.1246599997</v>
      </c>
      <c r="H436" s="316">
        <f>SUM(I436:K436)</f>
        <v>9793335.5</v>
      </c>
      <c r="I436" s="257">
        <v>6630871.5999999996</v>
      </c>
      <c r="J436" s="257">
        <v>489666.78</v>
      </c>
      <c r="K436" s="269">
        <v>2672797.12</v>
      </c>
      <c r="L436" s="270" t="s">
        <v>826</v>
      </c>
      <c r="M436" s="597">
        <v>42612</v>
      </c>
    </row>
    <row r="437" spans="1:13" outlineLevel="1" x14ac:dyDescent="0.25">
      <c r="A437" s="332"/>
      <c r="B437" s="16" t="s">
        <v>67</v>
      </c>
      <c r="C437" s="508"/>
      <c r="D437" s="53"/>
      <c r="E437" s="11"/>
      <c r="F437" s="11"/>
      <c r="G437" s="106"/>
      <c r="H437" s="53"/>
      <c r="I437" s="11"/>
      <c r="J437" s="11"/>
      <c r="K437" s="106"/>
      <c r="L437" s="27"/>
    </row>
    <row r="438" spans="1:13" s="68" customFormat="1" ht="29.25" customHeight="1" x14ac:dyDescent="0.2">
      <c r="A438" s="330">
        <v>118</v>
      </c>
      <c r="B438" s="333" t="s">
        <v>507</v>
      </c>
      <c r="C438" s="532">
        <f>C439+C440+C441</f>
        <v>0</v>
      </c>
      <c r="D438" s="228">
        <f>E438+F438+G438</f>
        <v>0</v>
      </c>
      <c r="E438" s="532">
        <f t="shared" ref="E438:G438" si="278">E439+E440+E441</f>
        <v>0</v>
      </c>
      <c r="F438" s="532">
        <f t="shared" si="278"/>
        <v>0</v>
      </c>
      <c r="G438" s="532">
        <f t="shared" si="278"/>
        <v>0</v>
      </c>
      <c r="H438" s="228">
        <f>I438+J438+K438</f>
        <v>0</v>
      </c>
      <c r="I438" s="532">
        <f t="shared" ref="I438:K438" si="279">I439+I440+I441</f>
        <v>0</v>
      </c>
      <c r="J438" s="532">
        <f t="shared" si="279"/>
        <v>0</v>
      </c>
      <c r="K438" s="532">
        <f t="shared" si="279"/>
        <v>0</v>
      </c>
      <c r="L438" s="321"/>
      <c r="M438" s="652"/>
    </row>
    <row r="439" spans="1:13" outlineLevel="1" x14ac:dyDescent="0.25">
      <c r="A439" s="332"/>
      <c r="B439" s="16" t="s">
        <v>555</v>
      </c>
      <c r="C439" s="508"/>
      <c r="D439" s="53"/>
      <c r="E439" s="11"/>
      <c r="F439" s="11"/>
      <c r="G439" s="106"/>
      <c r="H439" s="53"/>
      <c r="I439" s="11"/>
      <c r="J439" s="11"/>
      <c r="K439" s="106"/>
      <c r="L439" s="27"/>
    </row>
    <row r="440" spans="1:13" outlineLevel="1" x14ac:dyDescent="0.25">
      <c r="A440" s="332"/>
      <c r="B440" s="16" t="s">
        <v>554</v>
      </c>
      <c r="C440" s="508"/>
      <c r="D440" s="53"/>
      <c r="E440" s="11"/>
      <c r="F440" s="11"/>
      <c r="G440" s="106"/>
      <c r="H440" s="53"/>
      <c r="I440" s="11"/>
      <c r="J440" s="11"/>
      <c r="K440" s="106"/>
      <c r="L440" s="27"/>
    </row>
    <row r="441" spans="1:13" outlineLevel="1" x14ac:dyDescent="0.25">
      <c r="A441" s="332"/>
      <c r="B441" s="16" t="s">
        <v>67</v>
      </c>
      <c r="C441" s="508"/>
      <c r="D441" s="53"/>
      <c r="E441" s="11"/>
      <c r="F441" s="11"/>
      <c r="G441" s="106"/>
      <c r="H441" s="53"/>
      <c r="I441" s="11"/>
      <c r="J441" s="11"/>
      <c r="K441" s="106"/>
      <c r="L441" s="27"/>
    </row>
    <row r="442" spans="1:13" s="68" customFormat="1" ht="30.75" customHeight="1" x14ac:dyDescent="0.2">
      <c r="A442" s="330">
        <v>119</v>
      </c>
      <c r="B442" s="333" t="s">
        <v>508</v>
      </c>
      <c r="C442" s="58">
        <f>SUM(C443:C444)</f>
        <v>5938259.3799999999</v>
      </c>
      <c r="D442" s="40">
        <f>E442+F442+G442</f>
        <v>5938259.3799999999</v>
      </c>
      <c r="E442" s="75">
        <f>SUM(E443:E444)</f>
        <v>4020676.6610103999</v>
      </c>
      <c r="F442" s="75">
        <f>SUM(F443:F444)</f>
        <v>296912.96899999998</v>
      </c>
      <c r="G442" s="80">
        <f>SUM(G443:G444)</f>
        <v>1620669.7499895999</v>
      </c>
      <c r="H442" s="40">
        <f>I442+J442+K442</f>
        <v>5938259.3799999999</v>
      </c>
      <c r="I442" s="75">
        <f>SUM(I443:I444)</f>
        <v>4020676.66</v>
      </c>
      <c r="J442" s="75">
        <f>SUM(J443:J444)</f>
        <v>296912.96999999997</v>
      </c>
      <c r="K442" s="80">
        <f>SUM(K443:K444)</f>
        <v>1620669.75</v>
      </c>
      <c r="L442" s="321"/>
      <c r="M442" s="652"/>
    </row>
    <row r="443" spans="1:13" s="364" customFormat="1" outlineLevel="1" x14ac:dyDescent="0.25">
      <c r="A443" s="246"/>
      <c r="B443" s="248" t="s">
        <v>555</v>
      </c>
      <c r="C443" s="509">
        <v>5938259.3799999999</v>
      </c>
      <c r="D443" s="316">
        <f>E443+F443+G443</f>
        <v>5938259.3799999999</v>
      </c>
      <c r="E443" s="257">
        <f>C443*0.67708</f>
        <v>4020676.6610103999</v>
      </c>
      <c r="F443" s="257">
        <f>C443*0.05</f>
        <v>296912.96899999998</v>
      </c>
      <c r="G443" s="269">
        <f>C443-E443-F443</f>
        <v>1620669.7499895999</v>
      </c>
      <c r="H443" s="316">
        <f>SUM(I443:K443)</f>
        <v>5938259.3799999999</v>
      </c>
      <c r="I443" s="257">
        <v>4020676.66</v>
      </c>
      <c r="J443" s="257">
        <v>296912.96999999997</v>
      </c>
      <c r="K443" s="269">
        <v>1620669.75</v>
      </c>
      <c r="L443" s="270" t="s">
        <v>800</v>
      </c>
      <c r="M443" s="597">
        <v>42590</v>
      </c>
    </row>
    <row r="444" spans="1:13" outlineLevel="1" x14ac:dyDescent="0.25">
      <c r="A444" s="332"/>
      <c r="B444" s="16" t="s">
        <v>67</v>
      </c>
      <c r="C444" s="508"/>
      <c r="D444" s="53"/>
      <c r="E444" s="11"/>
      <c r="F444" s="11"/>
      <c r="G444" s="106"/>
      <c r="H444" s="53"/>
      <c r="I444" s="11"/>
      <c r="J444" s="11"/>
      <c r="K444" s="106"/>
      <c r="L444" s="27"/>
    </row>
    <row r="445" spans="1:13" s="108" customFormat="1" ht="27.75" customHeight="1" x14ac:dyDescent="0.25">
      <c r="A445" s="88">
        <v>120</v>
      </c>
      <c r="B445" s="582" t="s">
        <v>509</v>
      </c>
      <c r="C445" s="285">
        <f>SUM(C446:C447)</f>
        <v>8087159.4700000007</v>
      </c>
      <c r="D445" s="228">
        <f>E445+F445+G445</f>
        <v>8087159.4700000007</v>
      </c>
      <c r="E445" s="201">
        <f>SUM(E446:E447)</f>
        <v>5948914.5061320011</v>
      </c>
      <c r="F445" s="201">
        <f>SUM(F446:F447)</f>
        <v>404357.97350000008</v>
      </c>
      <c r="G445" s="229">
        <f>SUM(G446:G447)</f>
        <v>1733886.9903679995</v>
      </c>
      <c r="H445" s="228">
        <f>I445+J445+K445</f>
        <v>8087159.4699999997</v>
      </c>
      <c r="I445" s="201">
        <f>SUM(I446:I447)</f>
        <v>5948914.5099999998</v>
      </c>
      <c r="J445" s="201">
        <f>SUM(J446:J447)</f>
        <v>404357.97</v>
      </c>
      <c r="K445" s="229">
        <f>SUM(K446:K447)</f>
        <v>1733886.99</v>
      </c>
      <c r="L445" s="84"/>
      <c r="M445" s="656"/>
    </row>
    <row r="446" spans="1:13" s="364" customFormat="1" outlineLevel="1" x14ac:dyDescent="0.25">
      <c r="A446" s="246"/>
      <c r="B446" s="248" t="s">
        <v>555</v>
      </c>
      <c r="C446" s="509">
        <f>7465756.34+82145.4+539257.73</f>
        <v>8087159.4700000007</v>
      </c>
      <c r="D446" s="249">
        <f t="shared" ref="D446" si="280">E446+F446+G446</f>
        <v>8087159.4700000007</v>
      </c>
      <c r="E446" s="250">
        <f>C446*0.7356</f>
        <v>5948914.5061320011</v>
      </c>
      <c r="F446" s="250">
        <f>C446*5%</f>
        <v>404357.97350000008</v>
      </c>
      <c r="G446" s="251">
        <f>C446-E446-F446</f>
        <v>1733886.9903679995</v>
      </c>
      <c r="H446" s="249">
        <f t="shared" ref="H446" si="281">I446+J446+K446</f>
        <v>8087159.4699999997</v>
      </c>
      <c r="I446" s="257">
        <f>5948914.51</f>
        <v>5948914.5099999998</v>
      </c>
      <c r="J446" s="257">
        <f>404357.97</f>
        <v>404357.97</v>
      </c>
      <c r="K446" s="269">
        <f>1733886.99</f>
        <v>1733886.99</v>
      </c>
      <c r="L446" s="270" t="s">
        <v>673</v>
      </c>
      <c r="M446" s="597"/>
    </row>
    <row r="447" spans="1:13" outlineLevel="1" x14ac:dyDescent="0.25">
      <c r="A447" s="332"/>
      <c r="B447" s="283" t="s">
        <v>67</v>
      </c>
      <c r="C447" s="724"/>
      <c r="D447" s="583"/>
      <c r="E447" s="202"/>
      <c r="F447" s="202"/>
      <c r="G447" s="265"/>
      <c r="H447" s="53"/>
      <c r="I447" s="11"/>
      <c r="J447" s="11"/>
      <c r="K447" s="106"/>
      <c r="L447" s="27"/>
    </row>
    <row r="448" spans="1:13" s="68" customFormat="1" ht="24.75" customHeight="1" x14ac:dyDescent="0.2">
      <c r="A448" s="330">
        <v>121</v>
      </c>
      <c r="B448" s="333" t="s">
        <v>510</v>
      </c>
      <c r="C448" s="532">
        <f>C449+C450</f>
        <v>6205277.2800000003</v>
      </c>
      <c r="D448" s="228">
        <f>E448+F448+G448</f>
        <v>6205277.2800000003</v>
      </c>
      <c r="E448" s="532">
        <f t="shared" ref="E448:G448" si="282">E449+E450</f>
        <v>4855071</v>
      </c>
      <c r="F448" s="532">
        <f t="shared" si="282"/>
        <v>310263.86</v>
      </c>
      <c r="G448" s="532">
        <f t="shared" si="282"/>
        <v>1039942.42</v>
      </c>
      <c r="H448" s="228">
        <f>I448+J448+K448</f>
        <v>0</v>
      </c>
      <c r="I448" s="532">
        <f t="shared" ref="I448:K448" si="283">I449+I450</f>
        <v>0</v>
      </c>
      <c r="J448" s="532">
        <f t="shared" si="283"/>
        <v>0</v>
      </c>
      <c r="K448" s="532">
        <f t="shared" si="283"/>
        <v>0</v>
      </c>
      <c r="L448" s="321"/>
      <c r="M448" s="652"/>
    </row>
    <row r="449" spans="1:13" s="364" customFormat="1" outlineLevel="1" x14ac:dyDescent="0.25">
      <c r="A449" s="246"/>
      <c r="B449" s="248" t="s">
        <v>555</v>
      </c>
      <c r="C449" s="509">
        <v>6205277.2800000003</v>
      </c>
      <c r="D449" s="316">
        <f>E449+F449+G449</f>
        <v>6205277.2800000003</v>
      </c>
      <c r="E449" s="257">
        <v>4855071</v>
      </c>
      <c r="F449" s="257">
        <v>310263.86</v>
      </c>
      <c r="G449" s="269">
        <v>1039942.42</v>
      </c>
      <c r="H449" s="316"/>
      <c r="I449" s="257"/>
      <c r="J449" s="257"/>
      <c r="K449" s="269"/>
      <c r="L449" s="270" t="s">
        <v>859</v>
      </c>
      <c r="M449" s="597">
        <v>42657</v>
      </c>
    </row>
    <row r="450" spans="1:13" outlineLevel="1" x14ac:dyDescent="0.25">
      <c r="A450" s="332"/>
      <c r="B450" s="16" t="s">
        <v>67</v>
      </c>
      <c r="C450" s="508"/>
      <c r="D450" s="53"/>
      <c r="E450" s="11"/>
      <c r="F450" s="11"/>
      <c r="G450" s="106"/>
      <c r="H450" s="53"/>
      <c r="I450" s="11"/>
      <c r="J450" s="11"/>
      <c r="K450" s="106"/>
      <c r="L450" s="27"/>
    </row>
    <row r="451" spans="1:13" s="68" customFormat="1" ht="25.5" customHeight="1" x14ac:dyDescent="0.2">
      <c r="A451" s="330">
        <v>122</v>
      </c>
      <c r="B451" s="333" t="s">
        <v>511</v>
      </c>
      <c r="C451" s="58">
        <f>SUM(C452:C455)</f>
        <v>8436751.4900000002</v>
      </c>
      <c r="D451" s="40">
        <f>E451+F451+G451</f>
        <v>8436751.4900000002</v>
      </c>
      <c r="E451" s="75">
        <f>SUM(E452:E455)</f>
        <v>6600998.7300000004</v>
      </c>
      <c r="F451" s="75">
        <f>SUM(F452:F455)</f>
        <v>421837.58</v>
      </c>
      <c r="G451" s="80">
        <f>SUM(G452:G455)</f>
        <v>1413915.18</v>
      </c>
      <c r="H451" s="40">
        <f>I451+J451+K451</f>
        <v>8436751.4900000002</v>
      </c>
      <c r="I451" s="75">
        <f>SUM(I452:I455)</f>
        <v>6600998.7300000004</v>
      </c>
      <c r="J451" s="75">
        <f>SUM(J452:J455)</f>
        <v>421837.58</v>
      </c>
      <c r="K451" s="80">
        <f>SUM(K452:K455)</f>
        <v>1413915.18</v>
      </c>
      <c r="L451" s="321"/>
      <c r="M451" s="652"/>
    </row>
    <row r="452" spans="1:13" outlineLevel="1" x14ac:dyDescent="0.25">
      <c r="A452" s="332"/>
      <c r="B452" s="16" t="s">
        <v>68</v>
      </c>
      <c r="C452" s="508"/>
      <c r="D452" s="53"/>
      <c r="E452" s="11"/>
      <c r="F452" s="11"/>
      <c r="G452" s="106"/>
      <c r="H452" s="53"/>
      <c r="I452" s="11"/>
      <c r="J452" s="11"/>
      <c r="K452" s="106"/>
      <c r="L452" s="27"/>
    </row>
    <row r="453" spans="1:13" s="364" customFormat="1" outlineLevel="1" x14ac:dyDescent="0.25">
      <c r="A453" s="246"/>
      <c r="B453" s="248" t="s">
        <v>64</v>
      </c>
      <c r="C453" s="509">
        <v>8436751.4900000002</v>
      </c>
      <c r="D453" s="316">
        <f>E453+F453+G453</f>
        <v>8436751.4900000002</v>
      </c>
      <c r="E453" s="257">
        <v>6600998.7300000004</v>
      </c>
      <c r="F453" s="257">
        <v>421837.58</v>
      </c>
      <c r="G453" s="269">
        <v>1413915.18</v>
      </c>
      <c r="H453" s="316">
        <f>SUM(I453:K453)</f>
        <v>8436751.4900000002</v>
      </c>
      <c r="I453" s="257">
        <v>6600998.7300000004</v>
      </c>
      <c r="J453" s="257">
        <v>421837.58</v>
      </c>
      <c r="K453" s="269">
        <v>1413915.18</v>
      </c>
      <c r="L453" s="270" t="s">
        <v>844</v>
      </c>
      <c r="M453" s="597">
        <v>42632</v>
      </c>
    </row>
    <row r="454" spans="1:13" outlineLevel="1" x14ac:dyDescent="0.25">
      <c r="A454" s="332"/>
      <c r="B454" s="16" t="s">
        <v>554</v>
      </c>
      <c r="C454" s="508"/>
      <c r="D454" s="53"/>
      <c r="E454" s="11"/>
      <c r="F454" s="11"/>
      <c r="G454" s="106"/>
      <c r="H454" s="53"/>
      <c r="I454" s="11"/>
      <c r="J454" s="11"/>
      <c r="K454" s="106"/>
      <c r="L454" s="27"/>
    </row>
    <row r="455" spans="1:13" outlineLevel="1" x14ac:dyDescent="0.25">
      <c r="A455" s="332"/>
      <c r="B455" s="16" t="s">
        <v>67</v>
      </c>
      <c r="C455" s="508"/>
      <c r="D455" s="53"/>
      <c r="E455" s="11"/>
      <c r="F455" s="11"/>
      <c r="G455" s="106"/>
      <c r="H455" s="53"/>
      <c r="I455" s="11"/>
      <c r="J455" s="11"/>
      <c r="K455" s="106"/>
      <c r="L455" s="27"/>
    </row>
    <row r="456" spans="1:13" s="68" customFormat="1" ht="33" customHeight="1" x14ac:dyDescent="0.2">
      <c r="A456" s="330">
        <v>123</v>
      </c>
      <c r="B456" s="333" t="s">
        <v>613</v>
      </c>
      <c r="C456" s="58">
        <f>SUM(C457:C462)</f>
        <v>9663111.5899999999</v>
      </c>
      <c r="D456" s="40">
        <f>E456+F456+G456</f>
        <v>9663111.5899999999</v>
      </c>
      <c r="E456" s="75">
        <f>SUM(E457:E462)</f>
        <v>7560515.1391318999</v>
      </c>
      <c r="F456" s="75">
        <f>SUM(F457:F462)</f>
        <v>483155.57949999999</v>
      </c>
      <c r="G456" s="80">
        <f>SUM(G457:G462)</f>
        <v>1619440.8713680999</v>
      </c>
      <c r="H456" s="40">
        <f>I456+J456+K456</f>
        <v>9663111.5899999999</v>
      </c>
      <c r="I456" s="75">
        <f>SUM(I457:I462)</f>
        <v>7560515.1399999997</v>
      </c>
      <c r="J456" s="75">
        <f>SUM(J457:J462)</f>
        <v>483155.58</v>
      </c>
      <c r="K456" s="80">
        <f>SUM(K457:K462)</f>
        <v>1619440.87</v>
      </c>
      <c r="L456" s="321"/>
      <c r="M456" s="652"/>
    </row>
    <row r="457" spans="1:13" outlineLevel="1" x14ac:dyDescent="0.25">
      <c r="A457" s="332"/>
      <c r="B457" s="16" t="s">
        <v>68</v>
      </c>
      <c r="C457" s="508"/>
      <c r="D457" s="53"/>
      <c r="E457" s="11"/>
      <c r="F457" s="11"/>
      <c r="G457" s="106"/>
      <c r="H457" s="53"/>
      <c r="I457" s="11"/>
      <c r="J457" s="11"/>
      <c r="K457" s="106"/>
      <c r="L457" s="27"/>
    </row>
    <row r="458" spans="1:13" s="364" customFormat="1" outlineLevel="1" x14ac:dyDescent="0.25">
      <c r="A458" s="246"/>
      <c r="B458" s="248" t="s">
        <v>64</v>
      </c>
      <c r="C458" s="509">
        <v>9663111.5899999999</v>
      </c>
      <c r="D458" s="316">
        <f>E458+F458+G458</f>
        <v>9663111.5899999999</v>
      </c>
      <c r="E458" s="257">
        <f>C458*0.78241</f>
        <v>7560515.1391318999</v>
      </c>
      <c r="F458" s="257">
        <f>C458*5%</f>
        <v>483155.57949999999</v>
      </c>
      <c r="G458" s="269">
        <f>C458-E458-F458</f>
        <v>1619440.8713680999</v>
      </c>
      <c r="H458" s="316">
        <f>SUM(I458:K458)</f>
        <v>9663111.5899999999</v>
      </c>
      <c r="I458" s="257">
        <v>7560515.1399999997</v>
      </c>
      <c r="J458" s="257">
        <v>483155.58</v>
      </c>
      <c r="K458" s="269">
        <v>1619440.87</v>
      </c>
      <c r="L458" s="270" t="s">
        <v>844</v>
      </c>
      <c r="M458" s="597">
        <v>42633</v>
      </c>
    </row>
    <row r="459" spans="1:13" outlineLevel="1" x14ac:dyDescent="0.25">
      <c r="A459" s="332"/>
      <c r="B459" s="16" t="s">
        <v>65</v>
      </c>
      <c r="C459" s="508"/>
      <c r="D459" s="53"/>
      <c r="E459" s="11"/>
      <c r="F459" s="11"/>
      <c r="G459" s="106"/>
      <c r="H459" s="53"/>
      <c r="I459" s="11"/>
      <c r="J459" s="11"/>
      <c r="K459" s="106"/>
      <c r="L459" s="27"/>
    </row>
    <row r="460" spans="1:13" outlineLevel="1" x14ac:dyDescent="0.25">
      <c r="A460" s="332"/>
      <c r="B460" s="16" t="s">
        <v>66</v>
      </c>
      <c r="C460" s="508"/>
      <c r="D460" s="53"/>
      <c r="E460" s="11"/>
      <c r="F460" s="11"/>
      <c r="G460" s="106"/>
      <c r="H460" s="53"/>
      <c r="I460" s="11"/>
      <c r="J460" s="11"/>
      <c r="K460" s="106"/>
      <c r="L460" s="27"/>
    </row>
    <row r="461" spans="1:13" outlineLevel="1" x14ac:dyDescent="0.25">
      <c r="A461" s="332"/>
      <c r="B461" s="16" t="s">
        <v>554</v>
      </c>
      <c r="C461" s="508"/>
      <c r="D461" s="53"/>
      <c r="E461" s="11"/>
      <c r="F461" s="11"/>
      <c r="G461" s="106"/>
      <c r="H461" s="53"/>
      <c r="I461" s="11"/>
      <c r="J461" s="11"/>
      <c r="K461" s="106"/>
      <c r="L461" s="27"/>
    </row>
    <row r="462" spans="1:13" outlineLevel="1" x14ac:dyDescent="0.25">
      <c r="A462" s="332"/>
      <c r="B462" s="16" t="s">
        <v>67</v>
      </c>
      <c r="C462" s="508"/>
      <c r="D462" s="53"/>
      <c r="E462" s="11"/>
      <c r="F462" s="11"/>
      <c r="G462" s="106"/>
      <c r="H462" s="53"/>
      <c r="I462" s="11"/>
      <c r="J462" s="11"/>
      <c r="K462" s="106"/>
      <c r="L462" s="27"/>
    </row>
    <row r="463" spans="1:13" s="68" customFormat="1" ht="23.25" customHeight="1" x14ac:dyDescent="0.2">
      <c r="A463" s="330">
        <v>124</v>
      </c>
      <c r="B463" s="333" t="s">
        <v>512</v>
      </c>
      <c r="C463" s="58">
        <f>SUM(C464:C467)</f>
        <v>0</v>
      </c>
      <c r="D463" s="40">
        <f>E463+F463+G463</f>
        <v>0</v>
      </c>
      <c r="E463" s="75">
        <f>SUM(E464:E467)</f>
        <v>0</v>
      </c>
      <c r="F463" s="75">
        <f>SUM(F464:F467)</f>
        <v>0</v>
      </c>
      <c r="G463" s="80">
        <f>SUM(G464:G467)</f>
        <v>0</v>
      </c>
      <c r="H463" s="40">
        <f>I463+J463+K463</f>
        <v>0</v>
      </c>
      <c r="I463" s="75">
        <f>SUM(I464:I467)</f>
        <v>0</v>
      </c>
      <c r="J463" s="75">
        <f>SUM(J464:J467)</f>
        <v>0</v>
      </c>
      <c r="K463" s="80">
        <f>SUM(K464:K467)</f>
        <v>0</v>
      </c>
      <c r="L463" s="321"/>
      <c r="M463" s="652"/>
    </row>
    <row r="464" spans="1:13" outlineLevel="1" x14ac:dyDescent="0.25">
      <c r="A464" s="332"/>
      <c r="B464" s="16" t="s">
        <v>68</v>
      </c>
      <c r="C464" s="508"/>
      <c r="D464" s="53"/>
      <c r="E464" s="11"/>
      <c r="F464" s="11"/>
      <c r="G464" s="106"/>
      <c r="H464" s="53"/>
      <c r="I464" s="11"/>
      <c r="J464" s="11"/>
      <c r="K464" s="106"/>
      <c r="L464" s="27"/>
    </row>
    <row r="465" spans="1:13" outlineLevel="1" x14ac:dyDescent="0.25">
      <c r="A465" s="332"/>
      <c r="B465" s="16" t="s">
        <v>64</v>
      </c>
      <c r="C465" s="508"/>
      <c r="D465" s="53"/>
      <c r="E465" s="11"/>
      <c r="F465" s="11"/>
      <c r="G465" s="106"/>
      <c r="H465" s="53"/>
      <c r="I465" s="11"/>
      <c r="J465" s="11"/>
      <c r="K465" s="106"/>
      <c r="L465" s="27"/>
    </row>
    <row r="466" spans="1:13" outlineLevel="1" x14ac:dyDescent="0.25">
      <c r="A466" s="332"/>
      <c r="B466" s="16" t="s">
        <v>554</v>
      </c>
      <c r="C466" s="508"/>
      <c r="D466" s="53"/>
      <c r="E466" s="11"/>
      <c r="F466" s="11"/>
      <c r="G466" s="106"/>
      <c r="H466" s="53"/>
      <c r="I466" s="11"/>
      <c r="J466" s="11"/>
      <c r="K466" s="106"/>
      <c r="L466" s="27"/>
    </row>
    <row r="467" spans="1:13" outlineLevel="1" x14ac:dyDescent="0.25">
      <c r="A467" s="332"/>
      <c r="B467" s="16" t="s">
        <v>67</v>
      </c>
      <c r="C467" s="508"/>
      <c r="D467" s="53"/>
      <c r="E467" s="11"/>
      <c r="F467" s="11"/>
      <c r="G467" s="106"/>
      <c r="H467" s="53"/>
      <c r="I467" s="11"/>
      <c r="J467" s="11"/>
      <c r="K467" s="106"/>
      <c r="L467" s="27"/>
    </row>
    <row r="468" spans="1:13" s="68" customFormat="1" ht="26.25" customHeight="1" x14ac:dyDescent="0.2">
      <c r="A468" s="330">
        <v>125</v>
      </c>
      <c r="B468" s="333" t="s">
        <v>32</v>
      </c>
      <c r="C468" s="58">
        <f>SUM(C469:C473)</f>
        <v>7878062.3900000006</v>
      </c>
      <c r="D468" s="40">
        <f>SUM(E468:G468)</f>
        <v>7878062.3900000006</v>
      </c>
      <c r="E468" s="75">
        <f>SUM(E469:E473)</f>
        <v>5795102.6940840008</v>
      </c>
      <c r="F468" s="75">
        <f>SUM(F469:F473)</f>
        <v>393903.11950000003</v>
      </c>
      <c r="G468" s="80">
        <f>SUM(G469:G473)</f>
        <v>1689056.5764159998</v>
      </c>
      <c r="H468" s="40">
        <f>SUM(I468:K468)</f>
        <v>7878062.3900000006</v>
      </c>
      <c r="I468" s="75">
        <f>SUM(I469:I473)</f>
        <v>5795102.6900000004</v>
      </c>
      <c r="J468" s="75">
        <f>SUM(J469:J473)</f>
        <v>393903.12</v>
      </c>
      <c r="K468" s="80">
        <f>SUM(K469:K473)</f>
        <v>1689056.58</v>
      </c>
      <c r="L468" s="321"/>
      <c r="M468" s="652"/>
    </row>
    <row r="469" spans="1:13" outlineLevel="1" x14ac:dyDescent="0.25">
      <c r="A469" s="332"/>
      <c r="B469" s="16" t="s">
        <v>64</v>
      </c>
      <c r="C469" s="508"/>
      <c r="D469" s="53"/>
      <c r="E469" s="11"/>
      <c r="F469" s="11"/>
      <c r="G469" s="106"/>
      <c r="H469" s="53"/>
      <c r="I469" s="11"/>
      <c r="J469" s="11"/>
      <c r="K469" s="106"/>
      <c r="L469" s="27"/>
    </row>
    <row r="470" spans="1:13" s="364" customFormat="1" outlineLevel="1" x14ac:dyDescent="0.25">
      <c r="A470" s="246"/>
      <c r="B470" s="248" t="s">
        <v>555</v>
      </c>
      <c r="C470" s="509">
        <f>7561526.7+135990.33+180545.36</f>
        <v>7878062.3900000006</v>
      </c>
      <c r="D470" s="249">
        <f t="shared" ref="D470" si="284">E470+F470+G470</f>
        <v>7878062.3900000006</v>
      </c>
      <c r="E470" s="250">
        <f>C470*0.7356</f>
        <v>5795102.6940840008</v>
      </c>
      <c r="F470" s="250">
        <f>C470*5%</f>
        <v>393903.11950000003</v>
      </c>
      <c r="G470" s="251">
        <f>C470-E470-F470</f>
        <v>1689056.5764159998</v>
      </c>
      <c r="H470" s="316">
        <f>I470+J470+K470</f>
        <v>7878062.3900000006</v>
      </c>
      <c r="I470" s="257">
        <v>5795102.6900000004</v>
      </c>
      <c r="J470" s="257">
        <v>393903.12</v>
      </c>
      <c r="K470" s="269">
        <v>1689056.58</v>
      </c>
      <c r="L470" s="270" t="s">
        <v>667</v>
      </c>
      <c r="M470" s="597"/>
    </row>
    <row r="471" spans="1:13" outlineLevel="1" x14ac:dyDescent="0.25">
      <c r="A471" s="332"/>
      <c r="B471" s="16" t="s">
        <v>557</v>
      </c>
      <c r="C471" s="508"/>
      <c r="D471" s="53"/>
      <c r="E471" s="11"/>
      <c r="F471" s="11"/>
      <c r="G471" s="106"/>
      <c r="H471" s="53"/>
      <c r="I471" s="11"/>
      <c r="J471" s="11"/>
      <c r="K471" s="106"/>
      <c r="L471" s="27"/>
    </row>
    <row r="472" spans="1:13" outlineLevel="1" x14ac:dyDescent="0.25">
      <c r="A472" s="332"/>
      <c r="B472" s="16" t="s">
        <v>554</v>
      </c>
      <c r="C472" s="508"/>
      <c r="D472" s="53"/>
      <c r="E472" s="11"/>
      <c r="F472" s="11"/>
      <c r="G472" s="106"/>
      <c r="H472" s="53"/>
      <c r="I472" s="11"/>
      <c r="J472" s="11"/>
      <c r="K472" s="106"/>
      <c r="L472" s="27"/>
    </row>
    <row r="473" spans="1:13" outlineLevel="1" x14ac:dyDescent="0.25">
      <c r="A473" s="332"/>
      <c r="B473" s="16" t="s">
        <v>67</v>
      </c>
      <c r="C473" s="508"/>
      <c r="D473" s="53"/>
      <c r="E473" s="11"/>
      <c r="F473" s="11"/>
      <c r="G473" s="106"/>
      <c r="H473" s="53"/>
      <c r="I473" s="11"/>
      <c r="J473" s="11"/>
      <c r="K473" s="106"/>
      <c r="L473" s="27"/>
    </row>
    <row r="474" spans="1:13" s="68" customFormat="1" ht="30.75" customHeight="1" x14ac:dyDescent="0.2">
      <c r="A474" s="330">
        <v>126</v>
      </c>
      <c r="B474" s="333" t="s">
        <v>513</v>
      </c>
      <c r="C474" s="58">
        <f>SUM(C475:C476)</f>
        <v>3858588.46</v>
      </c>
      <c r="D474" s="13">
        <f>E474+F474+G474</f>
        <v>3858588.46</v>
      </c>
      <c r="E474" s="44">
        <f>SUM(E475:E476)</f>
        <v>2612573.08</v>
      </c>
      <c r="F474" s="44">
        <f>SUM(F475:F476)</f>
        <v>192929.42</v>
      </c>
      <c r="G474" s="297">
        <f>SUM(G475:G476)</f>
        <v>1053085.96</v>
      </c>
      <c r="H474" s="13">
        <f>I474+J474+K474</f>
        <v>3858588.46</v>
      </c>
      <c r="I474" s="44">
        <f>SUM(I475:I476)</f>
        <v>2612573.08</v>
      </c>
      <c r="J474" s="44">
        <f>SUM(J475:J476)</f>
        <v>192929.42</v>
      </c>
      <c r="K474" s="297">
        <f>SUM(K475:K476)</f>
        <v>1053085.96</v>
      </c>
      <c r="L474" s="321"/>
      <c r="M474" s="652"/>
    </row>
    <row r="475" spans="1:13" s="364" customFormat="1" outlineLevel="1" x14ac:dyDescent="0.25">
      <c r="A475" s="246"/>
      <c r="B475" s="248" t="s">
        <v>555</v>
      </c>
      <c r="C475" s="509">
        <v>3858588.46</v>
      </c>
      <c r="D475" s="249">
        <f t="shared" ref="D475" si="285">E475+F475+G475</f>
        <v>3858588.46</v>
      </c>
      <c r="E475" s="257">
        <v>2612573.08</v>
      </c>
      <c r="F475" s="257">
        <v>192929.42</v>
      </c>
      <c r="G475" s="269">
        <v>1053085.96</v>
      </c>
      <c r="H475" s="249">
        <f>I475+J475+K475</f>
        <v>3858588.46</v>
      </c>
      <c r="I475" s="257">
        <v>2612573.08</v>
      </c>
      <c r="J475" s="257">
        <v>192929.42</v>
      </c>
      <c r="K475" s="269">
        <v>1053085.96</v>
      </c>
      <c r="L475" s="270" t="s">
        <v>809</v>
      </c>
      <c r="M475" s="597" t="s">
        <v>810</v>
      </c>
    </row>
    <row r="476" spans="1:13" outlineLevel="1" x14ac:dyDescent="0.25">
      <c r="A476" s="332"/>
      <c r="B476" s="16" t="s">
        <v>67</v>
      </c>
      <c r="C476" s="508"/>
      <c r="D476" s="53"/>
      <c r="E476" s="11"/>
      <c r="F476" s="11"/>
      <c r="G476" s="106"/>
      <c r="H476" s="53"/>
      <c r="I476" s="11"/>
      <c r="J476" s="11"/>
      <c r="K476" s="106"/>
      <c r="L476" s="27"/>
    </row>
    <row r="477" spans="1:13" s="68" customFormat="1" ht="35.25" customHeight="1" x14ac:dyDescent="0.2">
      <c r="A477" s="330">
        <v>127</v>
      </c>
      <c r="B477" s="333" t="s">
        <v>514</v>
      </c>
      <c r="C477" s="58">
        <f>SUM(C478:C479)</f>
        <v>10554553.66</v>
      </c>
      <c r="D477" s="40">
        <f>E477+F477+G477</f>
        <v>10554553.66</v>
      </c>
      <c r="E477" s="75">
        <f>SUM(E478:E479)</f>
        <v>7146277.1900000004</v>
      </c>
      <c r="F477" s="75">
        <f>SUM(F478:F479)</f>
        <v>527727.68999999994</v>
      </c>
      <c r="G477" s="80">
        <f>SUM(G478:G479)</f>
        <v>2880548.78</v>
      </c>
      <c r="H477" s="40">
        <f>I477+J477+K477</f>
        <v>10554553.66</v>
      </c>
      <c r="I477" s="75">
        <f>SUM(I478:I479)</f>
        <v>7146277.1900000004</v>
      </c>
      <c r="J477" s="75">
        <f>SUM(J478:J479)</f>
        <v>527727.68999999994</v>
      </c>
      <c r="K477" s="80">
        <f>SUM(K478:K479)</f>
        <v>2880548.78</v>
      </c>
      <c r="L477" s="321"/>
      <c r="M477" s="652"/>
    </row>
    <row r="478" spans="1:13" s="364" customFormat="1" outlineLevel="1" x14ac:dyDescent="0.25">
      <c r="A478" s="246"/>
      <c r="B478" s="248" t="s">
        <v>555</v>
      </c>
      <c r="C478" s="509">
        <v>10554553.66</v>
      </c>
      <c r="D478" s="249">
        <f t="shared" ref="D478" si="286">E478+F478+G478</f>
        <v>10554553.66</v>
      </c>
      <c r="E478" s="257">
        <v>7146277.1900000004</v>
      </c>
      <c r="F478" s="257">
        <v>527727.68999999994</v>
      </c>
      <c r="G478" s="269">
        <v>2880548.78</v>
      </c>
      <c r="H478" s="249">
        <f>I478+J478+K478</f>
        <v>10554553.66</v>
      </c>
      <c r="I478" s="257">
        <v>7146277.1900000004</v>
      </c>
      <c r="J478" s="257">
        <v>527727.68999999994</v>
      </c>
      <c r="K478" s="269">
        <v>2880548.78</v>
      </c>
      <c r="L478" s="270" t="s">
        <v>790</v>
      </c>
      <c r="M478" s="655" t="s">
        <v>791</v>
      </c>
    </row>
    <row r="479" spans="1:13" outlineLevel="1" x14ac:dyDescent="0.25">
      <c r="A479" s="332"/>
      <c r="B479" s="16" t="s">
        <v>67</v>
      </c>
      <c r="C479" s="508"/>
      <c r="D479" s="53"/>
      <c r="E479" s="11"/>
      <c r="F479" s="11"/>
      <c r="G479" s="106"/>
      <c r="H479" s="53"/>
      <c r="I479" s="11"/>
      <c r="J479" s="11"/>
      <c r="K479" s="106"/>
      <c r="L479" s="27"/>
    </row>
    <row r="480" spans="1:13" s="68" customFormat="1" ht="32.25" customHeight="1" x14ac:dyDescent="0.2">
      <c r="A480" s="330">
        <v>128</v>
      </c>
      <c r="B480" s="333" t="s">
        <v>515</v>
      </c>
      <c r="C480" s="58">
        <f>SUM(C481:C482)</f>
        <v>10910499.48</v>
      </c>
      <c r="D480" s="40">
        <f>E480+F480+G480</f>
        <v>10910499.48</v>
      </c>
      <c r="E480" s="75">
        <f>SUM(E481:E482)</f>
        <v>7387280.9879184002</v>
      </c>
      <c r="F480" s="75">
        <f>SUM(F481:F482)</f>
        <v>545524.97400000005</v>
      </c>
      <c r="G480" s="80">
        <f>SUM(G481:G482)</f>
        <v>2977693.5180816003</v>
      </c>
      <c r="H480" s="40">
        <f>I480+J480+K480</f>
        <v>10910499.48</v>
      </c>
      <c r="I480" s="75">
        <f>SUM(I481:I482)</f>
        <v>7387280.9900000002</v>
      </c>
      <c r="J480" s="75">
        <f>SUM(J481:J482)</f>
        <v>545524.97</v>
      </c>
      <c r="K480" s="80">
        <f>SUM(K481:K482)</f>
        <v>2977693.52</v>
      </c>
      <c r="L480" s="321"/>
      <c r="M480" s="652"/>
    </row>
    <row r="481" spans="1:13" s="364" customFormat="1" outlineLevel="1" x14ac:dyDescent="0.25">
      <c r="A481" s="246"/>
      <c r="B481" s="248" t="s">
        <v>555</v>
      </c>
      <c r="C481" s="509">
        <v>10910499.48</v>
      </c>
      <c r="D481" s="316">
        <f>E481+F481+G481</f>
        <v>10910499.48</v>
      </c>
      <c r="E481" s="257">
        <f>C481*0.67708</f>
        <v>7387280.9879184002</v>
      </c>
      <c r="F481" s="257">
        <f>C481*0.05</f>
        <v>545524.97400000005</v>
      </c>
      <c r="G481" s="269">
        <f>C481-E481-F481</f>
        <v>2977693.5180816003</v>
      </c>
      <c r="H481" s="316">
        <f>SUM(I481:K481)</f>
        <v>10910499.48</v>
      </c>
      <c r="I481" s="257">
        <v>7387280.9900000002</v>
      </c>
      <c r="J481" s="257">
        <v>545524.97</v>
      </c>
      <c r="K481" s="269">
        <v>2977693.52</v>
      </c>
      <c r="L481" s="270" t="s">
        <v>801</v>
      </c>
      <c r="M481" s="597">
        <v>42605</v>
      </c>
    </row>
    <row r="482" spans="1:13" outlineLevel="1" x14ac:dyDescent="0.25">
      <c r="A482" s="332"/>
      <c r="B482" s="16" t="s">
        <v>67</v>
      </c>
      <c r="C482" s="508"/>
      <c r="D482" s="53"/>
      <c r="E482" s="11"/>
      <c r="F482" s="11"/>
      <c r="G482" s="106"/>
      <c r="H482" s="53"/>
      <c r="I482" s="11"/>
      <c r="J482" s="11"/>
      <c r="K482" s="106"/>
      <c r="L482" s="27"/>
    </row>
    <row r="483" spans="1:13" s="68" customFormat="1" ht="30.75" customHeight="1" x14ac:dyDescent="0.2">
      <c r="A483" s="330">
        <v>129</v>
      </c>
      <c r="B483" s="333" t="s">
        <v>516</v>
      </c>
      <c r="C483" s="58">
        <f>SUM(C484:C485)</f>
        <v>10747188.66</v>
      </c>
      <c r="D483" s="40">
        <f>E483+F483+G483</f>
        <v>10747188.66</v>
      </c>
      <c r="E483" s="75">
        <f>SUM(E484:E485)</f>
        <v>7276706.4979127999</v>
      </c>
      <c r="F483" s="75">
        <f>SUM(F484:F485)</f>
        <v>537359.43300000008</v>
      </c>
      <c r="G483" s="80">
        <f>SUM(G484:G485)</f>
        <v>2933122.7290872</v>
      </c>
      <c r="H483" s="40">
        <f>I483+J483+K483</f>
        <v>10747188.66</v>
      </c>
      <c r="I483" s="75">
        <f>SUM(I484:I485)</f>
        <v>7276706.5</v>
      </c>
      <c r="J483" s="75">
        <f>SUM(J484:J485)</f>
        <v>537359.43000000005</v>
      </c>
      <c r="K483" s="80">
        <f>SUM(K484:K485)</f>
        <v>2933122.73</v>
      </c>
      <c r="L483" s="321"/>
      <c r="M483" s="652"/>
    </row>
    <row r="484" spans="1:13" s="364" customFormat="1" outlineLevel="1" x14ac:dyDescent="0.25">
      <c r="A484" s="246"/>
      <c r="B484" s="248" t="s">
        <v>555</v>
      </c>
      <c r="C484" s="509">
        <v>10747188.66</v>
      </c>
      <c r="D484" s="316">
        <f>E484+F484+G484</f>
        <v>10747188.66</v>
      </c>
      <c r="E484" s="257">
        <f>C484*0.67708</f>
        <v>7276706.4979127999</v>
      </c>
      <c r="F484" s="257">
        <f>C484*0.05</f>
        <v>537359.43300000008</v>
      </c>
      <c r="G484" s="269">
        <f>C484-E484-F484</f>
        <v>2933122.7290872</v>
      </c>
      <c r="H484" s="316">
        <f>SUM(I484:K484)</f>
        <v>10747188.66</v>
      </c>
      <c r="I484" s="257">
        <v>7276706.5</v>
      </c>
      <c r="J484" s="257">
        <v>537359.43000000005</v>
      </c>
      <c r="K484" s="269">
        <v>2933122.73</v>
      </c>
      <c r="L484" s="270" t="s">
        <v>801</v>
      </c>
      <c r="M484" s="597">
        <v>42605</v>
      </c>
    </row>
    <row r="485" spans="1:13" outlineLevel="1" x14ac:dyDescent="0.25">
      <c r="A485" s="332"/>
      <c r="B485" s="16" t="s">
        <v>67</v>
      </c>
      <c r="C485" s="508"/>
      <c r="D485" s="53"/>
      <c r="E485" s="11"/>
      <c r="F485" s="11"/>
      <c r="G485" s="106"/>
      <c r="H485" s="53"/>
      <c r="I485" s="11"/>
      <c r="J485" s="11"/>
      <c r="K485" s="106"/>
      <c r="L485" s="27"/>
    </row>
    <row r="486" spans="1:13" s="68" customFormat="1" ht="32.25" customHeight="1" x14ac:dyDescent="0.2">
      <c r="A486" s="330">
        <v>130</v>
      </c>
      <c r="B486" s="333" t="s">
        <v>517</v>
      </c>
      <c r="C486" s="532">
        <f>C487+C488+C489</f>
        <v>0</v>
      </c>
      <c r="D486" s="228">
        <f>E486+F486+G486</f>
        <v>0</v>
      </c>
      <c r="E486" s="532">
        <f t="shared" ref="E486:G486" si="287">E487+E488+E489</f>
        <v>0</v>
      </c>
      <c r="F486" s="532">
        <f t="shared" si="287"/>
        <v>0</v>
      </c>
      <c r="G486" s="532">
        <f t="shared" si="287"/>
        <v>0</v>
      </c>
      <c r="H486" s="228">
        <f>I486+J486+K486</f>
        <v>0</v>
      </c>
      <c r="I486" s="532">
        <f t="shared" ref="I486:K486" si="288">I487+I488+I489</f>
        <v>0</v>
      </c>
      <c r="J486" s="532">
        <f t="shared" si="288"/>
        <v>0</v>
      </c>
      <c r="K486" s="532">
        <f t="shared" si="288"/>
        <v>0</v>
      </c>
      <c r="L486" s="321"/>
      <c r="M486" s="652"/>
    </row>
    <row r="487" spans="1:13" outlineLevel="1" x14ac:dyDescent="0.25">
      <c r="A487" s="332"/>
      <c r="B487" s="16" t="s">
        <v>555</v>
      </c>
      <c r="C487" s="508"/>
      <c r="D487" s="53"/>
      <c r="E487" s="11"/>
      <c r="F487" s="11"/>
      <c r="G487" s="106"/>
      <c r="H487" s="53"/>
      <c r="I487" s="11"/>
      <c r="J487" s="11"/>
      <c r="K487" s="106"/>
      <c r="L487" s="27"/>
    </row>
    <row r="488" spans="1:13" outlineLevel="1" x14ac:dyDescent="0.25">
      <c r="A488" s="332"/>
      <c r="B488" s="16" t="s">
        <v>554</v>
      </c>
      <c r="C488" s="508"/>
      <c r="D488" s="53"/>
      <c r="E488" s="11"/>
      <c r="F488" s="11"/>
      <c r="G488" s="106"/>
      <c r="H488" s="53"/>
      <c r="I488" s="11"/>
      <c r="J488" s="11"/>
      <c r="K488" s="106"/>
      <c r="L488" s="27"/>
    </row>
    <row r="489" spans="1:13" outlineLevel="1" x14ac:dyDescent="0.25">
      <c r="A489" s="332"/>
      <c r="B489" s="16" t="s">
        <v>67</v>
      </c>
      <c r="C489" s="508"/>
      <c r="D489" s="53"/>
      <c r="E489" s="11"/>
      <c r="F489" s="11"/>
      <c r="G489" s="106"/>
      <c r="H489" s="53"/>
      <c r="I489" s="11"/>
      <c r="J489" s="11"/>
      <c r="K489" s="106"/>
      <c r="L489" s="27"/>
    </row>
    <row r="490" spans="1:13" s="68" customFormat="1" ht="32.25" customHeight="1" x14ac:dyDescent="0.2">
      <c r="A490" s="330">
        <v>131</v>
      </c>
      <c r="B490" s="333" t="s">
        <v>518</v>
      </c>
      <c r="C490" s="532">
        <f>C491+C492+C493</f>
        <v>0</v>
      </c>
      <c r="D490" s="228">
        <f>E490+F490+G490</f>
        <v>0</v>
      </c>
      <c r="E490" s="532">
        <f t="shared" ref="E490:G490" si="289">E491+E492+E493</f>
        <v>0</v>
      </c>
      <c r="F490" s="532">
        <f t="shared" si="289"/>
        <v>0</v>
      </c>
      <c r="G490" s="532">
        <f t="shared" si="289"/>
        <v>0</v>
      </c>
      <c r="H490" s="228">
        <f>I490+J490+K490</f>
        <v>0</v>
      </c>
      <c r="I490" s="532">
        <f t="shared" ref="I490:K490" si="290">I491+I492+I493</f>
        <v>0</v>
      </c>
      <c r="J490" s="532">
        <f t="shared" si="290"/>
        <v>0</v>
      </c>
      <c r="K490" s="532">
        <f t="shared" si="290"/>
        <v>0</v>
      </c>
      <c r="L490" s="321"/>
      <c r="M490" s="652"/>
    </row>
    <row r="491" spans="1:13" outlineLevel="1" x14ac:dyDescent="0.25">
      <c r="A491" s="332"/>
      <c r="B491" s="16" t="s">
        <v>555</v>
      </c>
      <c r="C491" s="508"/>
      <c r="D491" s="53"/>
      <c r="E491" s="11"/>
      <c r="F491" s="11"/>
      <c r="G491" s="106"/>
      <c r="H491" s="53"/>
      <c r="I491" s="11"/>
      <c r="J491" s="11"/>
      <c r="K491" s="106"/>
      <c r="L491" s="27"/>
    </row>
    <row r="492" spans="1:13" outlineLevel="1" x14ac:dyDescent="0.25">
      <c r="A492" s="332"/>
      <c r="B492" s="16" t="s">
        <v>554</v>
      </c>
      <c r="C492" s="508"/>
      <c r="D492" s="53"/>
      <c r="E492" s="11"/>
      <c r="F492" s="11"/>
      <c r="G492" s="106"/>
      <c r="H492" s="53"/>
      <c r="I492" s="11"/>
      <c r="J492" s="11"/>
      <c r="K492" s="106"/>
      <c r="L492" s="27"/>
    </row>
    <row r="493" spans="1:13" outlineLevel="1" x14ac:dyDescent="0.25">
      <c r="A493" s="332"/>
      <c r="B493" s="16" t="s">
        <v>67</v>
      </c>
      <c r="C493" s="508"/>
      <c r="D493" s="53"/>
      <c r="E493" s="11"/>
      <c r="F493" s="11"/>
      <c r="G493" s="106"/>
      <c r="H493" s="53"/>
      <c r="I493" s="11"/>
      <c r="J493" s="11"/>
      <c r="K493" s="106"/>
      <c r="L493" s="27"/>
    </row>
    <row r="494" spans="1:13" s="68" customFormat="1" ht="37.5" customHeight="1" x14ac:dyDescent="0.2">
      <c r="A494" s="330">
        <v>132</v>
      </c>
      <c r="B494" s="333" t="s">
        <v>519</v>
      </c>
      <c r="C494" s="532">
        <f>C495+C496+C497</f>
        <v>0</v>
      </c>
      <c r="D494" s="228">
        <f>E494+F494+G494</f>
        <v>0</v>
      </c>
      <c r="E494" s="532">
        <f t="shared" ref="E494:G494" si="291">E495+E496+E497</f>
        <v>0</v>
      </c>
      <c r="F494" s="532">
        <f t="shared" si="291"/>
        <v>0</v>
      </c>
      <c r="G494" s="532">
        <f t="shared" si="291"/>
        <v>0</v>
      </c>
      <c r="H494" s="228">
        <f>I494+J494+K494</f>
        <v>0</v>
      </c>
      <c r="I494" s="532">
        <f t="shared" ref="I494:K494" si="292">I495+I496+I497</f>
        <v>0</v>
      </c>
      <c r="J494" s="532">
        <f t="shared" si="292"/>
        <v>0</v>
      </c>
      <c r="K494" s="532">
        <f t="shared" si="292"/>
        <v>0</v>
      </c>
      <c r="L494" s="321"/>
      <c r="M494" s="652"/>
    </row>
    <row r="495" spans="1:13" outlineLevel="1" x14ac:dyDescent="0.25">
      <c r="A495" s="332"/>
      <c r="B495" s="16" t="s">
        <v>555</v>
      </c>
      <c r="C495" s="508"/>
      <c r="D495" s="53"/>
      <c r="E495" s="11"/>
      <c r="F495" s="11"/>
      <c r="G495" s="106"/>
      <c r="H495" s="53"/>
      <c r="I495" s="11"/>
      <c r="J495" s="11"/>
      <c r="K495" s="106"/>
      <c r="L495" s="27"/>
    </row>
    <row r="496" spans="1:13" outlineLevel="1" x14ac:dyDescent="0.25">
      <c r="A496" s="332"/>
      <c r="B496" s="16" t="s">
        <v>554</v>
      </c>
      <c r="C496" s="508"/>
      <c r="D496" s="53"/>
      <c r="E496" s="11"/>
      <c r="F496" s="11"/>
      <c r="G496" s="106"/>
      <c r="H496" s="53"/>
      <c r="I496" s="11"/>
      <c r="J496" s="11"/>
      <c r="K496" s="106"/>
      <c r="L496" s="27"/>
    </row>
    <row r="497" spans="1:13" outlineLevel="1" x14ac:dyDescent="0.25">
      <c r="A497" s="332"/>
      <c r="B497" s="16" t="s">
        <v>67</v>
      </c>
      <c r="C497" s="508"/>
      <c r="D497" s="53"/>
      <c r="E497" s="11"/>
      <c r="F497" s="11"/>
      <c r="G497" s="106"/>
      <c r="H497" s="53"/>
      <c r="I497" s="11"/>
      <c r="J497" s="11"/>
      <c r="K497" s="106"/>
      <c r="L497" s="27"/>
    </row>
    <row r="498" spans="1:13" s="68" customFormat="1" ht="30" customHeight="1" x14ac:dyDescent="0.2">
      <c r="A498" s="330">
        <v>133</v>
      </c>
      <c r="B498" s="333" t="s">
        <v>520</v>
      </c>
      <c r="C498" s="532">
        <f>C499+C500+C501</f>
        <v>0</v>
      </c>
      <c r="D498" s="228">
        <f>E498+F498+G498</f>
        <v>0</v>
      </c>
      <c r="E498" s="532">
        <f t="shared" ref="E498:G498" si="293">E499+E500+E501</f>
        <v>0</v>
      </c>
      <c r="F498" s="532">
        <f t="shared" si="293"/>
        <v>0</v>
      </c>
      <c r="G498" s="532">
        <f t="shared" si="293"/>
        <v>0</v>
      </c>
      <c r="H498" s="228">
        <f>I498+J498+K498</f>
        <v>0</v>
      </c>
      <c r="I498" s="532">
        <f t="shared" ref="I498:K498" si="294">I499+I500+I501</f>
        <v>0</v>
      </c>
      <c r="J498" s="532">
        <f t="shared" si="294"/>
        <v>0</v>
      </c>
      <c r="K498" s="532">
        <f t="shared" si="294"/>
        <v>0</v>
      </c>
      <c r="L498" s="321"/>
      <c r="M498" s="652"/>
    </row>
    <row r="499" spans="1:13" outlineLevel="1" x14ac:dyDescent="0.25">
      <c r="A499" s="332"/>
      <c r="B499" s="16" t="s">
        <v>555</v>
      </c>
      <c r="C499" s="508"/>
      <c r="D499" s="53"/>
      <c r="E499" s="11"/>
      <c r="F499" s="11"/>
      <c r="G499" s="106"/>
      <c r="H499" s="53"/>
      <c r="I499" s="11"/>
      <c r="J499" s="11"/>
      <c r="K499" s="106"/>
      <c r="L499" s="27"/>
    </row>
    <row r="500" spans="1:13" outlineLevel="1" x14ac:dyDescent="0.25">
      <c r="A500" s="332"/>
      <c r="B500" s="16" t="s">
        <v>554</v>
      </c>
      <c r="C500" s="508"/>
      <c r="D500" s="53"/>
      <c r="E500" s="11"/>
      <c r="F500" s="11"/>
      <c r="G500" s="106"/>
      <c r="H500" s="53"/>
      <c r="I500" s="11"/>
      <c r="J500" s="11"/>
      <c r="K500" s="106"/>
      <c r="L500" s="27"/>
    </row>
    <row r="501" spans="1:13" outlineLevel="1" x14ac:dyDescent="0.25">
      <c r="A501" s="332"/>
      <c r="B501" s="16" t="s">
        <v>67</v>
      </c>
      <c r="C501" s="508"/>
      <c r="D501" s="53"/>
      <c r="E501" s="11"/>
      <c r="F501" s="11"/>
      <c r="G501" s="106"/>
      <c r="H501" s="53"/>
      <c r="I501" s="11"/>
      <c r="J501" s="11"/>
      <c r="K501" s="106"/>
      <c r="L501" s="27"/>
    </row>
    <row r="502" spans="1:13" s="534" customFormat="1" ht="30.75" customHeight="1" x14ac:dyDescent="0.2">
      <c r="A502" s="88">
        <v>134</v>
      </c>
      <c r="B502" s="582" t="s">
        <v>521</v>
      </c>
      <c r="C502" s="285">
        <f>SUM(C503:C504)</f>
        <v>8849277.8399999999</v>
      </c>
      <c r="D502" s="228">
        <f>E502+F502+G502</f>
        <v>8849277.8399999999</v>
      </c>
      <c r="E502" s="201">
        <f>SUM(E503:E504)</f>
        <v>5991669.0399072003</v>
      </c>
      <c r="F502" s="201">
        <f>SUM(F503:F504)</f>
        <v>442463.89199999999</v>
      </c>
      <c r="G502" s="229">
        <f>SUM(G503:G504)</f>
        <v>2415144.9080927996</v>
      </c>
      <c r="H502" s="228">
        <f>I502+J502+K502</f>
        <v>8849277.8399999999</v>
      </c>
      <c r="I502" s="201">
        <f>SUM(I503:I504)</f>
        <v>5991669.04</v>
      </c>
      <c r="J502" s="201">
        <f>SUM(J503:J504)</f>
        <v>442463.89</v>
      </c>
      <c r="K502" s="229">
        <f>SUM(K503:K504)</f>
        <v>2415144.91</v>
      </c>
      <c r="L502" s="533"/>
      <c r="M502" s="654"/>
    </row>
    <row r="503" spans="1:13" s="364" customFormat="1" outlineLevel="1" x14ac:dyDescent="0.25">
      <c r="A503" s="246"/>
      <c r="B503" s="248" t="s">
        <v>555</v>
      </c>
      <c r="C503" s="509">
        <v>8849277.8399999999</v>
      </c>
      <c r="D503" s="316">
        <f>E503+F503+G503</f>
        <v>8849277.8399999999</v>
      </c>
      <c r="E503" s="257">
        <f>C503*0.67708</f>
        <v>5991669.0399072003</v>
      </c>
      <c r="F503" s="257">
        <f>C503*0.05</f>
        <v>442463.89199999999</v>
      </c>
      <c r="G503" s="269">
        <f>C503-E503-F503</f>
        <v>2415144.9080927996</v>
      </c>
      <c r="H503" s="316">
        <f>I503+J503+K503</f>
        <v>8849277.8399999999</v>
      </c>
      <c r="I503" s="257">
        <v>5991669.04</v>
      </c>
      <c r="J503" s="257">
        <v>442463.89</v>
      </c>
      <c r="K503" s="269">
        <v>2415144.91</v>
      </c>
      <c r="L503" s="270" t="s">
        <v>755</v>
      </c>
      <c r="M503" s="597"/>
    </row>
    <row r="504" spans="1:13" outlineLevel="1" x14ac:dyDescent="0.25">
      <c r="A504" s="332"/>
      <c r="B504" s="16" t="s">
        <v>67</v>
      </c>
      <c r="C504" s="508"/>
      <c r="D504" s="53"/>
      <c r="E504" s="11"/>
      <c r="F504" s="11"/>
      <c r="G504" s="106"/>
      <c r="H504" s="53"/>
      <c r="I504" s="11"/>
      <c r="J504" s="11"/>
      <c r="K504" s="106"/>
      <c r="L504" s="27"/>
    </row>
    <row r="505" spans="1:13" s="68" customFormat="1" ht="29.25" customHeight="1" x14ac:dyDescent="0.2">
      <c r="A505" s="330">
        <v>135</v>
      </c>
      <c r="B505" s="333" t="s">
        <v>522</v>
      </c>
      <c r="C505" s="532">
        <f>C506+C507+C508</f>
        <v>0</v>
      </c>
      <c r="D505" s="228">
        <f>E505+F505+G505</f>
        <v>0</v>
      </c>
      <c r="E505" s="532">
        <f t="shared" ref="E505:G505" si="295">E506+E507+E508</f>
        <v>0</v>
      </c>
      <c r="F505" s="532">
        <f t="shared" si="295"/>
        <v>0</v>
      </c>
      <c r="G505" s="532">
        <f t="shared" si="295"/>
        <v>0</v>
      </c>
      <c r="H505" s="228">
        <f>I505+J505+K505</f>
        <v>0</v>
      </c>
      <c r="I505" s="532">
        <f t="shared" ref="I505:K505" si="296">I506+I507+I508</f>
        <v>0</v>
      </c>
      <c r="J505" s="532">
        <f t="shared" si="296"/>
        <v>0</v>
      </c>
      <c r="K505" s="532">
        <f t="shared" si="296"/>
        <v>0</v>
      </c>
      <c r="L505" s="321"/>
      <c r="M505" s="652"/>
    </row>
    <row r="506" spans="1:13" outlineLevel="1" x14ac:dyDescent="0.25">
      <c r="A506" s="332"/>
      <c r="B506" s="16" t="s">
        <v>555</v>
      </c>
      <c r="C506" s="508"/>
      <c r="D506" s="53"/>
      <c r="E506" s="11"/>
      <c r="F506" s="11"/>
      <c r="G506" s="106"/>
      <c r="H506" s="53"/>
      <c r="I506" s="11"/>
      <c r="J506" s="11"/>
      <c r="K506" s="106"/>
      <c r="L506" s="27"/>
    </row>
    <row r="507" spans="1:13" outlineLevel="1" x14ac:dyDescent="0.25">
      <c r="A507" s="332"/>
      <c r="B507" s="16" t="s">
        <v>554</v>
      </c>
      <c r="C507" s="508"/>
      <c r="D507" s="53"/>
      <c r="E507" s="11"/>
      <c r="F507" s="11"/>
      <c r="G507" s="106"/>
      <c r="H507" s="53"/>
      <c r="I507" s="11"/>
      <c r="J507" s="11"/>
      <c r="K507" s="106"/>
      <c r="L507" s="27"/>
    </row>
    <row r="508" spans="1:13" outlineLevel="1" x14ac:dyDescent="0.25">
      <c r="A508" s="332"/>
      <c r="B508" s="16" t="s">
        <v>67</v>
      </c>
      <c r="C508" s="508"/>
      <c r="D508" s="53"/>
      <c r="E508" s="11"/>
      <c r="F508" s="11"/>
      <c r="G508" s="106"/>
      <c r="H508" s="53"/>
      <c r="I508" s="11"/>
      <c r="J508" s="11"/>
      <c r="K508" s="106"/>
      <c r="L508" s="27"/>
    </row>
    <row r="509" spans="1:13" s="68" customFormat="1" ht="30" customHeight="1" x14ac:dyDescent="0.2">
      <c r="A509" s="330">
        <v>136</v>
      </c>
      <c r="B509" s="333" t="s">
        <v>523</v>
      </c>
      <c r="C509" s="532">
        <f>C510+C511+C512</f>
        <v>0</v>
      </c>
      <c r="D509" s="228">
        <f>E509+F509+G509</f>
        <v>0</v>
      </c>
      <c r="E509" s="532">
        <f t="shared" ref="E509:G509" si="297">E510+E511+E512</f>
        <v>0</v>
      </c>
      <c r="F509" s="532">
        <f t="shared" si="297"/>
        <v>0</v>
      </c>
      <c r="G509" s="532">
        <f t="shared" si="297"/>
        <v>0</v>
      </c>
      <c r="H509" s="228">
        <f>I509+J509+K509</f>
        <v>0</v>
      </c>
      <c r="I509" s="532">
        <f t="shared" ref="I509:K509" si="298">I510+I511+I512</f>
        <v>0</v>
      </c>
      <c r="J509" s="532">
        <f t="shared" si="298"/>
        <v>0</v>
      </c>
      <c r="K509" s="532">
        <f t="shared" si="298"/>
        <v>0</v>
      </c>
      <c r="L509" s="321"/>
      <c r="M509" s="652"/>
    </row>
    <row r="510" spans="1:13" outlineLevel="1" x14ac:dyDescent="0.25">
      <c r="A510" s="332"/>
      <c r="B510" s="16" t="s">
        <v>555</v>
      </c>
      <c r="C510" s="508"/>
      <c r="D510" s="53"/>
      <c r="E510" s="11"/>
      <c r="F510" s="11"/>
      <c r="G510" s="106"/>
      <c r="H510" s="53"/>
      <c r="I510" s="11"/>
      <c r="J510" s="11"/>
      <c r="K510" s="106"/>
      <c r="L510" s="27"/>
    </row>
    <row r="511" spans="1:13" outlineLevel="1" x14ac:dyDescent="0.25">
      <c r="A511" s="332"/>
      <c r="B511" s="16" t="s">
        <v>554</v>
      </c>
      <c r="C511" s="508"/>
      <c r="D511" s="53"/>
      <c r="E511" s="11"/>
      <c r="F511" s="11"/>
      <c r="G511" s="106"/>
      <c r="H511" s="53"/>
      <c r="I511" s="11"/>
      <c r="J511" s="11"/>
      <c r="K511" s="106"/>
      <c r="L511" s="27"/>
    </row>
    <row r="512" spans="1:13" outlineLevel="1" x14ac:dyDescent="0.25">
      <c r="A512" s="332"/>
      <c r="B512" s="16" t="s">
        <v>67</v>
      </c>
      <c r="C512" s="508"/>
      <c r="D512" s="53"/>
      <c r="E512" s="11"/>
      <c r="F512" s="11"/>
      <c r="G512" s="106"/>
      <c r="H512" s="53"/>
      <c r="I512" s="11"/>
      <c r="J512" s="11"/>
      <c r="K512" s="106"/>
      <c r="L512" s="27"/>
    </row>
    <row r="513" spans="1:13" s="68" customFormat="1" ht="28.5" customHeight="1" x14ac:dyDescent="0.2">
      <c r="A513" s="330">
        <v>137</v>
      </c>
      <c r="B513" s="333" t="s">
        <v>524</v>
      </c>
      <c r="C513" s="532">
        <f>C514+C515+C516</f>
        <v>0</v>
      </c>
      <c r="D513" s="228">
        <f>E513+F513+G513</f>
        <v>0</v>
      </c>
      <c r="E513" s="532">
        <f t="shared" ref="E513:G513" si="299">E514+E515+E516</f>
        <v>0</v>
      </c>
      <c r="F513" s="532">
        <f t="shared" si="299"/>
        <v>0</v>
      </c>
      <c r="G513" s="532">
        <f t="shared" si="299"/>
        <v>0</v>
      </c>
      <c r="H513" s="228">
        <f>I513+J513+K513</f>
        <v>0</v>
      </c>
      <c r="I513" s="532">
        <f t="shared" ref="I513:K513" si="300">I514+I515+I516</f>
        <v>0</v>
      </c>
      <c r="J513" s="532">
        <f t="shared" si="300"/>
        <v>0</v>
      </c>
      <c r="K513" s="532">
        <f t="shared" si="300"/>
        <v>0</v>
      </c>
      <c r="L513" s="321"/>
      <c r="M513" s="652"/>
    </row>
    <row r="514" spans="1:13" outlineLevel="1" x14ac:dyDescent="0.25">
      <c r="A514" s="332"/>
      <c r="B514" s="16" t="s">
        <v>555</v>
      </c>
      <c r="C514" s="508"/>
      <c r="D514" s="53"/>
      <c r="E514" s="11"/>
      <c r="F514" s="11"/>
      <c r="G514" s="106"/>
      <c r="H514" s="53"/>
      <c r="I514" s="11"/>
      <c r="J514" s="11"/>
      <c r="K514" s="106"/>
      <c r="L514" s="27"/>
    </row>
    <row r="515" spans="1:13" outlineLevel="1" x14ac:dyDescent="0.25">
      <c r="A515" s="332"/>
      <c r="B515" s="16" t="s">
        <v>554</v>
      </c>
      <c r="C515" s="508"/>
      <c r="D515" s="53"/>
      <c r="E515" s="11"/>
      <c r="F515" s="11"/>
      <c r="G515" s="106"/>
      <c r="H515" s="53"/>
      <c r="I515" s="11"/>
      <c r="J515" s="11"/>
      <c r="K515" s="106"/>
      <c r="L515" s="27"/>
    </row>
    <row r="516" spans="1:13" outlineLevel="1" x14ac:dyDescent="0.25">
      <c r="A516" s="332"/>
      <c r="B516" s="16" t="s">
        <v>67</v>
      </c>
      <c r="C516" s="508"/>
      <c r="D516" s="53"/>
      <c r="E516" s="11"/>
      <c r="F516" s="11"/>
      <c r="G516" s="106"/>
      <c r="H516" s="53"/>
      <c r="I516" s="11"/>
      <c r="J516" s="11"/>
      <c r="K516" s="106"/>
      <c r="L516" s="27"/>
    </row>
    <row r="517" spans="1:13" s="68" customFormat="1" ht="24.75" customHeight="1" x14ac:dyDescent="0.2">
      <c r="A517" s="330">
        <v>138</v>
      </c>
      <c r="B517" s="333" t="s">
        <v>525</v>
      </c>
      <c r="C517" s="532">
        <f>C518+C519+C520</f>
        <v>0</v>
      </c>
      <c r="D517" s="228">
        <f>E517+F517+G517</f>
        <v>0</v>
      </c>
      <c r="E517" s="532">
        <f t="shared" ref="E517:G517" si="301">E518+E519+E520</f>
        <v>0</v>
      </c>
      <c r="F517" s="532">
        <f t="shared" si="301"/>
        <v>0</v>
      </c>
      <c r="G517" s="532">
        <f t="shared" si="301"/>
        <v>0</v>
      </c>
      <c r="H517" s="228">
        <f>I517+J517+K517</f>
        <v>0</v>
      </c>
      <c r="I517" s="532">
        <f t="shared" ref="I517:K517" si="302">I518+I519+I520</f>
        <v>0</v>
      </c>
      <c r="J517" s="532">
        <f t="shared" si="302"/>
        <v>0</v>
      </c>
      <c r="K517" s="532">
        <f t="shared" si="302"/>
        <v>0</v>
      </c>
      <c r="L517" s="321"/>
      <c r="M517" s="652"/>
    </row>
    <row r="518" spans="1:13" outlineLevel="1" x14ac:dyDescent="0.25">
      <c r="A518" s="332"/>
      <c r="B518" s="16" t="s">
        <v>555</v>
      </c>
      <c r="C518" s="508"/>
      <c r="D518" s="53"/>
      <c r="E518" s="11"/>
      <c r="F518" s="11"/>
      <c r="G518" s="106"/>
      <c r="H518" s="53"/>
      <c r="I518" s="11"/>
      <c r="J518" s="11"/>
      <c r="K518" s="106"/>
      <c r="L518" s="27"/>
    </row>
    <row r="519" spans="1:13" outlineLevel="1" x14ac:dyDescent="0.25">
      <c r="A519" s="332"/>
      <c r="B519" s="16" t="s">
        <v>554</v>
      </c>
      <c r="C519" s="508"/>
      <c r="D519" s="53"/>
      <c r="E519" s="11"/>
      <c r="F519" s="11"/>
      <c r="G519" s="106"/>
      <c r="H519" s="53"/>
      <c r="I519" s="11"/>
      <c r="J519" s="11"/>
      <c r="K519" s="106"/>
      <c r="L519" s="27"/>
    </row>
    <row r="520" spans="1:13" outlineLevel="1" x14ac:dyDescent="0.25">
      <c r="A520" s="332"/>
      <c r="B520" s="16" t="s">
        <v>67</v>
      </c>
      <c r="C520" s="508"/>
      <c r="D520" s="53"/>
      <c r="E520" s="11"/>
      <c r="F520" s="11"/>
      <c r="G520" s="106"/>
      <c r="H520" s="53"/>
      <c r="I520" s="11"/>
      <c r="J520" s="11"/>
      <c r="K520" s="106"/>
      <c r="L520" s="27"/>
    </row>
    <row r="521" spans="1:13" ht="25.5" customHeight="1" x14ac:dyDescent="0.25">
      <c r="A521" s="330">
        <v>139</v>
      </c>
      <c r="B521" s="333" t="s">
        <v>526</v>
      </c>
      <c r="C521" s="532">
        <f>C522+C523+C524</f>
        <v>0</v>
      </c>
      <c r="D521" s="228">
        <f>E521+F521+G521</f>
        <v>0</v>
      </c>
      <c r="E521" s="532">
        <f t="shared" ref="E521:G521" si="303">E522+E523+E524</f>
        <v>0</v>
      </c>
      <c r="F521" s="532">
        <f t="shared" si="303"/>
        <v>0</v>
      </c>
      <c r="G521" s="532">
        <f t="shared" si="303"/>
        <v>0</v>
      </c>
      <c r="H521" s="228">
        <f>I521+J521+K521</f>
        <v>0</v>
      </c>
      <c r="I521" s="532">
        <f t="shared" ref="I521:K521" si="304">I522+I523+I524</f>
        <v>0</v>
      </c>
      <c r="J521" s="532">
        <f t="shared" si="304"/>
        <v>0</v>
      </c>
      <c r="K521" s="532">
        <f t="shared" si="304"/>
        <v>0</v>
      </c>
      <c r="L521" s="27"/>
    </row>
    <row r="522" spans="1:13" outlineLevel="1" x14ac:dyDescent="0.25">
      <c r="A522" s="332"/>
      <c r="B522" s="16" t="s">
        <v>555</v>
      </c>
      <c r="C522" s="508"/>
      <c r="D522" s="53"/>
      <c r="E522" s="11"/>
      <c r="F522" s="11"/>
      <c r="G522" s="106"/>
      <c r="H522" s="53"/>
      <c r="I522" s="11"/>
      <c r="J522" s="11"/>
      <c r="K522" s="106"/>
      <c r="L522" s="27"/>
    </row>
    <row r="523" spans="1:13" outlineLevel="1" x14ac:dyDescent="0.25">
      <c r="A523" s="332"/>
      <c r="B523" s="16" t="s">
        <v>554</v>
      </c>
      <c r="C523" s="508"/>
      <c r="D523" s="53"/>
      <c r="E523" s="11"/>
      <c r="F523" s="11"/>
      <c r="G523" s="106"/>
      <c r="H523" s="53"/>
      <c r="I523" s="11"/>
      <c r="J523" s="11"/>
      <c r="K523" s="106"/>
      <c r="L523" s="27"/>
    </row>
    <row r="524" spans="1:13" outlineLevel="1" x14ac:dyDescent="0.25">
      <c r="A524" s="332"/>
      <c r="B524" s="16" t="s">
        <v>67</v>
      </c>
      <c r="C524" s="508"/>
      <c r="D524" s="53"/>
      <c r="E524" s="11"/>
      <c r="F524" s="11"/>
      <c r="G524" s="106"/>
      <c r="H524" s="53"/>
      <c r="I524" s="11"/>
      <c r="J524" s="11"/>
      <c r="K524" s="106"/>
      <c r="L524" s="27"/>
    </row>
    <row r="525" spans="1:13" ht="30" customHeight="1" x14ac:dyDescent="0.25">
      <c r="A525" s="330">
        <v>140</v>
      </c>
      <c r="B525" s="333" t="s">
        <v>527</v>
      </c>
      <c r="C525" s="58">
        <f>SUM(C526:C527)</f>
        <v>1772115.81</v>
      </c>
      <c r="D525" s="40">
        <f>E525+F525+G525</f>
        <v>1772115.81</v>
      </c>
      <c r="E525" s="75">
        <f>SUM(E526:E527)</f>
        <v>1199864.1726348</v>
      </c>
      <c r="F525" s="75">
        <f>SUM(F526:F527)</f>
        <v>88605.790500000003</v>
      </c>
      <c r="G525" s="80">
        <f>SUM(G526:G527)</f>
        <v>483645.84686520009</v>
      </c>
      <c r="H525" s="40">
        <f>I525+J525+K525</f>
        <v>1772115.81</v>
      </c>
      <c r="I525" s="75">
        <f>SUM(I526:I527)</f>
        <v>1199864.17</v>
      </c>
      <c r="J525" s="75">
        <f>SUM(J526:J527)</f>
        <v>88605.79</v>
      </c>
      <c r="K525" s="80">
        <f>SUM(K526:K527)</f>
        <v>483645.85</v>
      </c>
      <c r="L525" s="27"/>
    </row>
    <row r="526" spans="1:13" s="364" customFormat="1" outlineLevel="1" x14ac:dyDescent="0.25">
      <c r="A526" s="246"/>
      <c r="B526" s="248" t="s">
        <v>557</v>
      </c>
      <c r="C526" s="509">
        <v>1772115.81</v>
      </c>
      <c r="D526" s="316">
        <f>SUM(E526:G526)</f>
        <v>1772115.81</v>
      </c>
      <c r="E526" s="257">
        <f>C526*0.67708</f>
        <v>1199864.1726348</v>
      </c>
      <c r="F526" s="257">
        <f>C526*0.05</f>
        <v>88605.790500000003</v>
      </c>
      <c r="G526" s="269">
        <f>C526-E526-F526</f>
        <v>483645.84686520009</v>
      </c>
      <c r="H526" s="316">
        <f>SUM(I526:K526)</f>
        <v>1772115.81</v>
      </c>
      <c r="I526" s="257">
        <v>1199864.17</v>
      </c>
      <c r="J526" s="257">
        <v>88605.79</v>
      </c>
      <c r="K526" s="269">
        <v>483645.85</v>
      </c>
      <c r="L526" s="270" t="s">
        <v>812</v>
      </c>
      <c r="M526" s="597">
        <v>42622</v>
      </c>
    </row>
    <row r="527" spans="1:13" outlineLevel="1" x14ac:dyDescent="0.25">
      <c r="A527" s="332"/>
      <c r="B527" s="16" t="s">
        <v>67</v>
      </c>
      <c r="C527" s="508"/>
      <c r="D527" s="53"/>
      <c r="E527" s="11"/>
      <c r="F527" s="11"/>
      <c r="G527" s="106"/>
      <c r="H527" s="53"/>
      <c r="I527" s="11"/>
      <c r="J527" s="11"/>
      <c r="K527" s="106"/>
      <c r="L527" s="27"/>
    </row>
    <row r="528" spans="1:13" ht="30" customHeight="1" x14ac:dyDescent="0.25">
      <c r="A528" s="330">
        <v>141</v>
      </c>
      <c r="B528" s="333" t="s">
        <v>528</v>
      </c>
      <c r="C528" s="58">
        <f>SUM(C529:C534)</f>
        <v>0</v>
      </c>
      <c r="D528" s="323">
        <f>E528+F528+G528</f>
        <v>0</v>
      </c>
      <c r="E528" s="189">
        <f>SUM(E529:E531)</f>
        <v>0</v>
      </c>
      <c r="F528" s="189">
        <f>SUM(F529:F531)</f>
        <v>0</v>
      </c>
      <c r="G528" s="324">
        <f>SUM(G529:G531)</f>
        <v>0</v>
      </c>
      <c r="H528" s="323">
        <f>I528+J528+K528</f>
        <v>0</v>
      </c>
      <c r="I528" s="189">
        <f>SUM(I529:I531)</f>
        <v>0</v>
      </c>
      <c r="J528" s="189">
        <f>SUM(J529:J531)</f>
        <v>0</v>
      </c>
      <c r="K528" s="324">
        <f>SUM(K529:K531)</f>
        <v>0</v>
      </c>
      <c r="L528" s="27"/>
    </row>
    <row r="529" spans="1:13" outlineLevel="1" x14ac:dyDescent="0.25">
      <c r="A529" s="332"/>
      <c r="B529" s="16" t="s">
        <v>68</v>
      </c>
      <c r="C529" s="508"/>
      <c r="D529" s="53"/>
      <c r="E529" s="11"/>
      <c r="F529" s="11"/>
      <c r="G529" s="106"/>
      <c r="H529" s="53"/>
      <c r="I529" s="11"/>
      <c r="J529" s="11"/>
      <c r="K529" s="106"/>
      <c r="L529" s="27"/>
    </row>
    <row r="530" spans="1:13" outlineLevel="1" x14ac:dyDescent="0.25">
      <c r="A530" s="332"/>
      <c r="B530" s="16" t="s">
        <v>64</v>
      </c>
      <c r="C530" s="508"/>
      <c r="D530" s="53"/>
      <c r="E530" s="11"/>
      <c r="F530" s="11"/>
      <c r="G530" s="106"/>
      <c r="H530" s="53"/>
      <c r="I530" s="11"/>
      <c r="J530" s="11"/>
      <c r="K530" s="106"/>
      <c r="L530" s="27"/>
    </row>
    <row r="531" spans="1:13" outlineLevel="1" x14ac:dyDescent="0.25">
      <c r="A531" s="332"/>
      <c r="B531" s="16" t="s">
        <v>65</v>
      </c>
      <c r="C531" s="508"/>
      <c r="D531" s="53"/>
      <c r="E531" s="11"/>
      <c r="F531" s="11"/>
      <c r="G531" s="106"/>
      <c r="H531" s="53"/>
      <c r="I531" s="11"/>
      <c r="J531" s="11"/>
      <c r="K531" s="106"/>
      <c r="L531" s="27"/>
    </row>
    <row r="532" spans="1:13" outlineLevel="1" x14ac:dyDescent="0.25">
      <c r="A532" s="332"/>
      <c r="B532" s="16" t="s">
        <v>66</v>
      </c>
      <c r="C532" s="508"/>
      <c r="D532" s="53"/>
      <c r="E532" s="11"/>
      <c r="F532" s="11"/>
      <c r="G532" s="106"/>
      <c r="H532" s="53"/>
      <c r="I532" s="11"/>
      <c r="J532" s="11"/>
      <c r="K532" s="106"/>
      <c r="L532" s="27"/>
    </row>
    <row r="533" spans="1:13" outlineLevel="1" x14ac:dyDescent="0.25">
      <c r="A533" s="332"/>
      <c r="B533" s="16" t="s">
        <v>554</v>
      </c>
      <c r="C533" s="508"/>
      <c r="D533" s="53"/>
      <c r="E533" s="11"/>
      <c r="F533" s="11"/>
      <c r="G533" s="106"/>
      <c r="H533" s="53"/>
      <c r="I533" s="11"/>
      <c r="J533" s="11"/>
      <c r="K533" s="106"/>
      <c r="L533" s="27"/>
    </row>
    <row r="534" spans="1:13" outlineLevel="1" x14ac:dyDescent="0.25">
      <c r="A534" s="332"/>
      <c r="B534" s="16" t="s">
        <v>67</v>
      </c>
      <c r="C534" s="508"/>
      <c r="D534" s="53"/>
      <c r="E534" s="11"/>
      <c r="F534" s="11"/>
      <c r="G534" s="106"/>
      <c r="H534" s="53"/>
      <c r="I534" s="11"/>
      <c r="J534" s="11"/>
      <c r="K534" s="106"/>
      <c r="L534" s="27"/>
    </row>
    <row r="535" spans="1:13" s="534" customFormat="1" ht="32.25" customHeight="1" x14ac:dyDescent="0.2">
      <c r="A535" s="88">
        <v>142</v>
      </c>
      <c r="B535" s="582" t="s">
        <v>529</v>
      </c>
      <c r="C535" s="285">
        <f>SUM(C536:C537)</f>
        <v>7714619.9300000006</v>
      </c>
      <c r="D535" s="228">
        <f>SUM(E535:G535)</f>
        <v>7714619.9300000006</v>
      </c>
      <c r="E535" s="201">
        <f>SUM(E536:E537)</f>
        <v>5674874.420508001</v>
      </c>
      <c r="F535" s="201">
        <f>SUM(F536:F537)</f>
        <v>385730.99650000007</v>
      </c>
      <c r="G535" s="229">
        <f>SUM(G536:G537)</f>
        <v>1654014.5129919995</v>
      </c>
      <c r="H535" s="228">
        <f>SUM(I535:K535)</f>
        <v>7714619.9299999997</v>
      </c>
      <c r="I535" s="201">
        <f>SUM(I536:I537)</f>
        <v>5674874.4199999999</v>
      </c>
      <c r="J535" s="201">
        <f>SUM(J536:J537)</f>
        <v>385731</v>
      </c>
      <c r="K535" s="229">
        <f>SUM(K536:K537)</f>
        <v>1654014.51</v>
      </c>
      <c r="L535" s="533"/>
      <c r="M535" s="654"/>
    </row>
    <row r="536" spans="1:13" s="364" customFormat="1" outlineLevel="1" x14ac:dyDescent="0.25">
      <c r="A536" s="246"/>
      <c r="B536" s="248" t="s">
        <v>555</v>
      </c>
      <c r="C536" s="509">
        <f>7406782.53+135384+172453.4</f>
        <v>7714619.9300000006</v>
      </c>
      <c r="D536" s="249">
        <f t="shared" ref="D536" si="305">E536+F536+G536</f>
        <v>7714619.9300000006</v>
      </c>
      <c r="E536" s="250">
        <f>C536*0.7356</f>
        <v>5674874.420508001</v>
      </c>
      <c r="F536" s="250">
        <f>C536*5%</f>
        <v>385730.99650000007</v>
      </c>
      <c r="G536" s="251">
        <f>C536-E536-F536</f>
        <v>1654014.5129919995</v>
      </c>
      <c r="H536" s="316">
        <f>I536+J536+K536</f>
        <v>7714619.9299999997</v>
      </c>
      <c r="I536" s="257">
        <v>5674874.4199999999</v>
      </c>
      <c r="J536" s="257">
        <v>385731</v>
      </c>
      <c r="K536" s="269">
        <v>1654014.51</v>
      </c>
      <c r="L536" s="270" t="s">
        <v>666</v>
      </c>
      <c r="M536" s="597"/>
    </row>
    <row r="537" spans="1:13" outlineLevel="1" x14ac:dyDescent="0.25">
      <c r="A537" s="332"/>
      <c r="B537" s="283" t="s">
        <v>67</v>
      </c>
      <c r="C537" s="724"/>
      <c r="D537" s="583"/>
      <c r="E537" s="202"/>
      <c r="F537" s="202"/>
      <c r="G537" s="265"/>
      <c r="H537" s="53"/>
      <c r="I537" s="11"/>
      <c r="J537" s="11"/>
      <c r="K537" s="106"/>
      <c r="L537" s="27"/>
    </row>
    <row r="538" spans="1:13" ht="27" customHeight="1" x14ac:dyDescent="0.25">
      <c r="A538" s="330">
        <v>143</v>
      </c>
      <c r="B538" s="333" t="s">
        <v>34</v>
      </c>
      <c r="C538" s="58">
        <f>SUM(C539:C543)</f>
        <v>0</v>
      </c>
      <c r="D538" s="40">
        <f t="shared" ref="D538:H538" si="306">SUM(D539:D543)</f>
        <v>0</v>
      </c>
      <c r="E538" s="75">
        <f>SUM(E539:E543)</f>
        <v>0</v>
      </c>
      <c r="F538" s="75">
        <f>SUM(F539:F543)</f>
        <v>0</v>
      </c>
      <c r="G538" s="80">
        <f>SUM(G539:G543)</f>
        <v>0</v>
      </c>
      <c r="H538" s="40">
        <f t="shared" si="306"/>
        <v>0</v>
      </c>
      <c r="I538" s="75">
        <f>SUM(I539:I543)</f>
        <v>0</v>
      </c>
      <c r="J538" s="75">
        <f>SUM(J539:J543)</f>
        <v>0</v>
      </c>
      <c r="K538" s="80">
        <f>SUM(K539:K543)</f>
        <v>0</v>
      </c>
      <c r="L538" s="27"/>
    </row>
    <row r="539" spans="1:13" outlineLevel="1" x14ac:dyDescent="0.25">
      <c r="A539" s="332"/>
      <c r="B539" s="16" t="s">
        <v>64</v>
      </c>
      <c r="C539" s="508"/>
      <c r="D539" s="53"/>
      <c r="E539" s="11"/>
      <c r="F539" s="11"/>
      <c r="G539" s="106"/>
      <c r="H539" s="53"/>
      <c r="I539" s="11"/>
      <c r="J539" s="11"/>
      <c r="K539" s="106"/>
      <c r="L539" s="27"/>
    </row>
    <row r="540" spans="1:13" outlineLevel="1" x14ac:dyDescent="0.25">
      <c r="A540" s="332"/>
      <c r="B540" s="16" t="s">
        <v>65</v>
      </c>
      <c r="C540" s="508"/>
      <c r="D540" s="53"/>
      <c r="E540" s="11"/>
      <c r="F540" s="11"/>
      <c r="G540" s="106"/>
      <c r="H540" s="53"/>
      <c r="I540" s="11"/>
      <c r="J540" s="11"/>
      <c r="K540" s="106"/>
      <c r="L540" s="27"/>
    </row>
    <row r="541" spans="1:13" outlineLevel="1" x14ac:dyDescent="0.25">
      <c r="A541" s="332"/>
      <c r="B541" s="16" t="s">
        <v>66</v>
      </c>
      <c r="C541" s="508"/>
      <c r="D541" s="53"/>
      <c r="E541" s="11"/>
      <c r="F541" s="11"/>
      <c r="G541" s="106"/>
      <c r="H541" s="53"/>
      <c r="I541" s="11"/>
      <c r="J541" s="11"/>
      <c r="K541" s="106"/>
      <c r="L541" s="27"/>
    </row>
    <row r="542" spans="1:13" outlineLevel="1" x14ac:dyDescent="0.25">
      <c r="A542" s="332"/>
      <c r="B542" s="16" t="s">
        <v>554</v>
      </c>
      <c r="C542" s="508"/>
      <c r="D542" s="53"/>
      <c r="E542" s="11"/>
      <c r="F542" s="11"/>
      <c r="G542" s="106"/>
      <c r="H542" s="53"/>
      <c r="I542" s="11"/>
      <c r="J542" s="11"/>
      <c r="K542" s="106"/>
      <c r="L542" s="27"/>
    </row>
    <row r="543" spans="1:13" outlineLevel="1" x14ac:dyDescent="0.25">
      <c r="A543" s="332"/>
      <c r="B543" s="16" t="s">
        <v>67</v>
      </c>
      <c r="C543" s="508"/>
      <c r="D543" s="53"/>
      <c r="E543" s="11"/>
      <c r="F543" s="11"/>
      <c r="G543" s="106"/>
      <c r="H543" s="53"/>
      <c r="I543" s="11"/>
      <c r="J543" s="11"/>
      <c r="K543" s="106"/>
      <c r="L543" s="27"/>
    </row>
    <row r="544" spans="1:13" ht="27.75" customHeight="1" x14ac:dyDescent="0.25">
      <c r="A544" s="330">
        <v>144</v>
      </c>
      <c r="B544" s="333" t="s">
        <v>530</v>
      </c>
      <c r="C544" s="58">
        <f>SUM(C545:C546)</f>
        <v>3179121.66</v>
      </c>
      <c r="D544" s="40">
        <f>SUM(E544:G544)</f>
        <v>3179121.66</v>
      </c>
      <c r="E544" s="75">
        <f>SUM(E545:E546)</f>
        <v>2152519.6935528</v>
      </c>
      <c r="F544" s="75">
        <f>SUM(F545:F546)</f>
        <v>158956.08300000001</v>
      </c>
      <c r="G544" s="80">
        <f>SUM(G545:G546)</f>
        <v>867645.88344720018</v>
      </c>
      <c r="H544" s="40">
        <f>SUM(I544:K544)</f>
        <v>3179121.66</v>
      </c>
      <c r="I544" s="75">
        <f>SUM(I545:I546)</f>
        <v>2152519.7000000002</v>
      </c>
      <c r="J544" s="75">
        <f>SUM(J545:J546)</f>
        <v>158956.07999999999</v>
      </c>
      <c r="K544" s="80">
        <f>SUM(K545:K546)</f>
        <v>867645.88</v>
      </c>
      <c r="L544" s="27"/>
    </row>
    <row r="545" spans="1:13" s="364" customFormat="1" outlineLevel="1" x14ac:dyDescent="0.25">
      <c r="A545" s="246"/>
      <c r="B545" s="248" t="s">
        <v>555</v>
      </c>
      <c r="C545" s="509">
        <v>3179121.66</v>
      </c>
      <c r="D545" s="316">
        <f>E545+F545+G545</f>
        <v>3179121.66</v>
      </c>
      <c r="E545" s="257">
        <f>C545*0.67708</f>
        <v>2152519.6935528</v>
      </c>
      <c r="F545" s="257">
        <f>C545*5%</f>
        <v>158956.08300000001</v>
      </c>
      <c r="G545" s="269">
        <f>C545-E545-F545</f>
        <v>867645.88344720018</v>
      </c>
      <c r="H545" s="316">
        <f>I545+J545+K545</f>
        <v>3179121.66</v>
      </c>
      <c r="I545" s="257">
        <v>2152519.7000000002</v>
      </c>
      <c r="J545" s="257">
        <v>158956.07999999999</v>
      </c>
      <c r="K545" s="269">
        <v>867645.88</v>
      </c>
      <c r="L545" s="270" t="s">
        <v>792</v>
      </c>
      <c r="M545" s="597" t="s">
        <v>793</v>
      </c>
    </row>
    <row r="546" spans="1:13" outlineLevel="1" x14ac:dyDescent="0.25">
      <c r="A546" s="332"/>
      <c r="B546" s="16" t="s">
        <v>67</v>
      </c>
      <c r="C546" s="508"/>
      <c r="D546" s="53"/>
      <c r="E546" s="11"/>
      <c r="F546" s="11"/>
      <c r="G546" s="106"/>
      <c r="H546" s="53"/>
      <c r="I546" s="11"/>
      <c r="J546" s="11"/>
      <c r="K546" s="106"/>
      <c r="L546" s="27"/>
    </row>
    <row r="547" spans="1:13" ht="28.5" customHeight="1" x14ac:dyDescent="0.25">
      <c r="A547" s="330">
        <v>145</v>
      </c>
      <c r="B547" s="333" t="s">
        <v>614</v>
      </c>
      <c r="C547" s="58">
        <f>SUM(C548:C551)</f>
        <v>1953990.46</v>
      </c>
      <c r="D547" s="40">
        <f>SUM(E547:G547)</f>
        <v>1953990.46</v>
      </c>
      <c r="E547" s="75">
        <f>SUM(E548:E551)</f>
        <v>1437355.3823760001</v>
      </c>
      <c r="F547" s="75">
        <f>SUM(F548:F551)</f>
        <v>97699.523000000001</v>
      </c>
      <c r="G547" s="80">
        <f>SUM(G548:G551)</f>
        <v>418935.55462399992</v>
      </c>
      <c r="H547" s="40">
        <f>SUM(I547:K547)</f>
        <v>1953990.46</v>
      </c>
      <c r="I547" s="75">
        <f>SUM(I548:I551)</f>
        <v>1437355.38</v>
      </c>
      <c r="J547" s="75">
        <f>SUM(J548:J551)</f>
        <v>97699.520000000004</v>
      </c>
      <c r="K547" s="80">
        <f>SUM(K548:K551)</f>
        <v>418935.56</v>
      </c>
      <c r="L547" s="27"/>
    </row>
    <row r="548" spans="1:13" s="364" customFormat="1" outlineLevel="1" x14ac:dyDescent="0.25">
      <c r="A548" s="246"/>
      <c r="B548" s="248" t="s">
        <v>555</v>
      </c>
      <c r="C548" s="509">
        <v>1953990.46</v>
      </c>
      <c r="D548" s="316">
        <f>E548+F548+G548</f>
        <v>1953990.46</v>
      </c>
      <c r="E548" s="257">
        <f>C548*0.7356</f>
        <v>1437355.3823760001</v>
      </c>
      <c r="F548" s="257">
        <f>C548*0.05</f>
        <v>97699.523000000001</v>
      </c>
      <c r="G548" s="269">
        <f>C548-E548-F548</f>
        <v>418935.55462399992</v>
      </c>
      <c r="H548" s="316">
        <f>I548+J548+K548</f>
        <v>1953990.46</v>
      </c>
      <c r="I548" s="257">
        <v>1437355.38</v>
      </c>
      <c r="J548" s="257">
        <v>97699.520000000004</v>
      </c>
      <c r="K548" s="269">
        <v>418935.56</v>
      </c>
      <c r="L548" s="270" t="s">
        <v>685</v>
      </c>
      <c r="M548" s="597"/>
    </row>
    <row r="549" spans="1:13" outlineLevel="1" x14ac:dyDescent="0.25">
      <c r="A549" s="332"/>
      <c r="B549" s="16" t="s">
        <v>557</v>
      </c>
      <c r="C549" s="508"/>
      <c r="D549" s="53"/>
      <c r="E549" s="11"/>
      <c r="F549" s="11"/>
      <c r="G549" s="106"/>
      <c r="H549" s="53"/>
      <c r="I549" s="11"/>
      <c r="J549" s="11"/>
      <c r="K549" s="106"/>
      <c r="L549" s="27"/>
    </row>
    <row r="550" spans="1:13" outlineLevel="1" x14ac:dyDescent="0.25">
      <c r="A550" s="332"/>
      <c r="B550" s="16" t="s">
        <v>554</v>
      </c>
      <c r="C550" s="508"/>
      <c r="D550" s="53"/>
      <c r="E550" s="11"/>
      <c r="F550" s="11"/>
      <c r="G550" s="106"/>
      <c r="H550" s="53"/>
      <c r="I550" s="11"/>
      <c r="J550" s="11"/>
      <c r="K550" s="106"/>
      <c r="L550" s="27"/>
    </row>
    <row r="551" spans="1:13" outlineLevel="1" x14ac:dyDescent="0.25">
      <c r="A551" s="332"/>
      <c r="B551" s="283" t="s">
        <v>67</v>
      </c>
      <c r="C551" s="508"/>
      <c r="D551" s="53"/>
      <c r="E551" s="586"/>
      <c r="F551" s="586"/>
      <c r="G551" s="587"/>
      <c r="H551" s="53"/>
      <c r="I551" s="11"/>
      <c r="J551" s="11"/>
      <c r="K551" s="106"/>
      <c r="L551" s="27"/>
    </row>
    <row r="552" spans="1:13" ht="24.75" customHeight="1" x14ac:dyDescent="0.25">
      <c r="A552" s="330">
        <v>146</v>
      </c>
      <c r="B552" s="333" t="s">
        <v>531</v>
      </c>
      <c r="C552" s="58">
        <f>SUM(C553:C555)</f>
        <v>0</v>
      </c>
      <c r="D552" s="40">
        <f>SUM(E552:G552)</f>
        <v>0</v>
      </c>
      <c r="E552" s="75">
        <f>SUM(E553:E555)</f>
        <v>0</v>
      </c>
      <c r="F552" s="75">
        <f>SUM(F553:F555)</f>
        <v>0</v>
      </c>
      <c r="G552" s="80">
        <f>SUM(G553:G555)</f>
        <v>0</v>
      </c>
      <c r="H552" s="40">
        <f>SUM(I552:K552)</f>
        <v>0</v>
      </c>
      <c r="I552" s="75">
        <f>SUM(I553:I555)</f>
        <v>0</v>
      </c>
      <c r="J552" s="75">
        <f>SUM(J553:J555)</f>
        <v>0</v>
      </c>
      <c r="K552" s="80">
        <f>SUM(K553:K555)</f>
        <v>0</v>
      </c>
      <c r="L552" s="27"/>
    </row>
    <row r="553" spans="1:13" outlineLevel="1" x14ac:dyDescent="0.25">
      <c r="A553" s="332"/>
      <c r="B553" s="16" t="s">
        <v>555</v>
      </c>
      <c r="C553" s="508"/>
      <c r="D553" s="53"/>
      <c r="E553" s="11"/>
      <c r="F553" s="11"/>
      <c r="G553" s="106"/>
      <c r="H553" s="53"/>
      <c r="I553" s="11"/>
      <c r="J553" s="11"/>
      <c r="K553" s="106"/>
      <c r="L553" s="27"/>
    </row>
    <row r="554" spans="1:13" outlineLevel="1" x14ac:dyDescent="0.25">
      <c r="A554" s="332"/>
      <c r="B554" s="16" t="s">
        <v>554</v>
      </c>
      <c r="C554" s="508"/>
      <c r="D554" s="53"/>
      <c r="E554" s="11"/>
      <c r="F554" s="11"/>
      <c r="G554" s="106"/>
      <c r="H554" s="53"/>
      <c r="I554" s="11"/>
      <c r="J554" s="11"/>
      <c r="K554" s="106"/>
      <c r="L554" s="27"/>
    </row>
    <row r="555" spans="1:13" outlineLevel="1" x14ac:dyDescent="0.25">
      <c r="A555" s="332"/>
      <c r="B555" s="16" t="s">
        <v>67</v>
      </c>
      <c r="C555" s="508"/>
      <c r="D555" s="53"/>
      <c r="E555" s="11"/>
      <c r="F555" s="11"/>
      <c r="G555" s="106"/>
      <c r="H555" s="53"/>
      <c r="I555" s="11"/>
      <c r="J555" s="11"/>
      <c r="K555" s="106"/>
      <c r="L555" s="27"/>
    </row>
    <row r="556" spans="1:13" ht="29.25" customHeight="1" x14ac:dyDescent="0.25">
      <c r="A556" s="330">
        <v>147</v>
      </c>
      <c r="B556" s="333" t="s">
        <v>532</v>
      </c>
      <c r="C556" s="532">
        <f>C557+C558</f>
        <v>4267180.83</v>
      </c>
      <c r="D556" s="532">
        <f t="shared" ref="D556:K556" si="307">D557+D558</f>
        <v>4267180.83</v>
      </c>
      <c r="E556" s="532">
        <f t="shared" si="307"/>
        <v>3338684.9532003002</v>
      </c>
      <c r="F556" s="532">
        <f t="shared" si="307"/>
        <v>213359.04150000002</v>
      </c>
      <c r="G556" s="532">
        <f t="shared" si="307"/>
        <v>715136.8352996998</v>
      </c>
      <c r="H556" s="532">
        <f t="shared" si="307"/>
        <v>0</v>
      </c>
      <c r="I556" s="532">
        <f t="shared" si="307"/>
        <v>0</v>
      </c>
      <c r="J556" s="532">
        <f t="shared" si="307"/>
        <v>0</v>
      </c>
      <c r="K556" s="532">
        <f t="shared" si="307"/>
        <v>0</v>
      </c>
      <c r="L556" s="27"/>
    </row>
    <row r="557" spans="1:13" s="364" customFormat="1" outlineLevel="1" x14ac:dyDescent="0.25">
      <c r="A557" s="246"/>
      <c r="B557" s="248" t="s">
        <v>555</v>
      </c>
      <c r="C557" s="509">
        <v>4267180.83</v>
      </c>
      <c r="D557" s="316">
        <f>SUM(E557:G557)</f>
        <v>4267180.83</v>
      </c>
      <c r="E557" s="257">
        <f>C557*0.78241</f>
        <v>3338684.9532003002</v>
      </c>
      <c r="F557" s="257">
        <f>C557*0.05</f>
        <v>213359.04150000002</v>
      </c>
      <c r="G557" s="269">
        <f>C557-E557-F557</f>
        <v>715136.8352996998</v>
      </c>
      <c r="H557" s="316"/>
      <c r="I557" s="257"/>
      <c r="J557" s="257"/>
      <c r="K557" s="269"/>
      <c r="L557" s="270" t="s">
        <v>863</v>
      </c>
      <c r="M557" s="597">
        <v>42660</v>
      </c>
    </row>
    <row r="558" spans="1:13" outlineLevel="1" x14ac:dyDescent="0.25">
      <c r="A558" s="332"/>
      <c r="B558" s="16" t="s">
        <v>67</v>
      </c>
      <c r="C558" s="508"/>
      <c r="D558" s="53"/>
      <c r="E558" s="11"/>
      <c r="F558" s="11"/>
      <c r="G558" s="106"/>
      <c r="H558" s="53"/>
      <c r="I558" s="11"/>
      <c r="J558" s="11"/>
      <c r="K558" s="106"/>
      <c r="L558" s="27"/>
    </row>
    <row r="559" spans="1:13" ht="27" customHeight="1" x14ac:dyDescent="0.25">
      <c r="A559" s="330">
        <v>148</v>
      </c>
      <c r="B559" s="333" t="s">
        <v>533</v>
      </c>
      <c r="C559" s="58">
        <f>SUM(C560:C561)</f>
        <v>4447845.5</v>
      </c>
      <c r="D559" s="40">
        <f>SUM(E559:G559)</f>
        <v>4447845.5</v>
      </c>
      <c r="E559" s="75">
        <f>SUM(E560:E561)</f>
        <v>3480038.7976550004</v>
      </c>
      <c r="F559" s="75">
        <f>SUM(F560:F561)</f>
        <v>222392.27500000002</v>
      </c>
      <c r="G559" s="80">
        <f>SUM(G560:G561)</f>
        <v>745414.42734499963</v>
      </c>
      <c r="H559" s="40">
        <f>SUM(I559:K559)</f>
        <v>0</v>
      </c>
      <c r="I559" s="75">
        <f>SUM(I560:I561)</f>
        <v>0</v>
      </c>
      <c r="J559" s="75">
        <f>SUM(J560:J561)</f>
        <v>0</v>
      </c>
      <c r="K559" s="80">
        <f>SUM(K560:K561)</f>
        <v>0</v>
      </c>
      <c r="L559" s="27"/>
    </row>
    <row r="560" spans="1:13" s="364" customFormat="1" outlineLevel="1" x14ac:dyDescent="0.25">
      <c r="A560" s="246"/>
      <c r="B560" s="248" t="s">
        <v>555</v>
      </c>
      <c r="C560" s="509">
        <v>4447845.5</v>
      </c>
      <c r="D560" s="316">
        <f>SUM(E560:G560)</f>
        <v>4447845.5</v>
      </c>
      <c r="E560" s="257">
        <f>C560*0.78241</f>
        <v>3480038.7976550004</v>
      </c>
      <c r="F560" s="257">
        <f>C560*0.05</f>
        <v>222392.27500000002</v>
      </c>
      <c r="G560" s="269">
        <f>C560-E560-F560</f>
        <v>745414.42734499963</v>
      </c>
      <c r="H560" s="316"/>
      <c r="I560" s="257"/>
      <c r="J560" s="257"/>
      <c r="K560" s="269"/>
      <c r="L560" s="270" t="s">
        <v>863</v>
      </c>
      <c r="M560" s="597">
        <v>42660</v>
      </c>
    </row>
    <row r="561" spans="1:13" outlineLevel="1" x14ac:dyDescent="0.25">
      <c r="A561" s="332"/>
      <c r="B561" s="16" t="s">
        <v>67</v>
      </c>
      <c r="C561" s="508"/>
      <c r="D561" s="53"/>
      <c r="E561" s="11"/>
      <c r="F561" s="11"/>
      <c r="G561" s="106"/>
      <c r="H561" s="53"/>
      <c r="I561" s="11"/>
      <c r="J561" s="11"/>
      <c r="K561" s="106"/>
      <c r="L561" s="27"/>
    </row>
    <row r="562" spans="1:13" ht="27" customHeight="1" x14ac:dyDescent="0.25">
      <c r="A562" s="330">
        <v>149</v>
      </c>
      <c r="B562" s="333" t="s">
        <v>534</v>
      </c>
      <c r="C562" s="58">
        <f>SUM(C563:C567)</f>
        <v>2196275.9700000002</v>
      </c>
      <c r="D562" s="40">
        <f>SUM(E562:G562)</f>
        <v>2196275.9700000002</v>
      </c>
      <c r="E562" s="75">
        <f>SUM(E563:E567)</f>
        <v>1718388.2816877002</v>
      </c>
      <c r="F562" s="75">
        <f>SUM(F563:F567)</f>
        <v>109813.79850000002</v>
      </c>
      <c r="G562" s="80">
        <f>SUM(G563:G567)</f>
        <v>368073.88981229998</v>
      </c>
      <c r="H562" s="40">
        <f>SUM(I562:K562)</f>
        <v>2196275.9700000002</v>
      </c>
      <c r="I562" s="75">
        <f>SUM(I563:I567)</f>
        <v>1718388.28</v>
      </c>
      <c r="J562" s="75">
        <f>SUM(J563:J567)</f>
        <v>109813.8</v>
      </c>
      <c r="K562" s="80">
        <f>SUM(K563:K567)</f>
        <v>368073.89</v>
      </c>
      <c r="L562" s="27"/>
    </row>
    <row r="563" spans="1:13" outlineLevel="1" x14ac:dyDescent="0.25">
      <c r="A563" s="332"/>
      <c r="B563" s="16" t="s">
        <v>68</v>
      </c>
      <c r="C563" s="508"/>
      <c r="D563" s="53"/>
      <c r="E563" s="11"/>
      <c r="F563" s="11"/>
      <c r="G563" s="106"/>
      <c r="H563" s="53"/>
      <c r="I563" s="11"/>
      <c r="J563" s="11"/>
      <c r="K563" s="106"/>
      <c r="L563" s="27"/>
    </row>
    <row r="564" spans="1:13" s="364" customFormat="1" outlineLevel="1" x14ac:dyDescent="0.25">
      <c r="A564" s="246"/>
      <c r="B564" s="248" t="s">
        <v>555</v>
      </c>
      <c r="C564" s="509">
        <v>2196275.9700000002</v>
      </c>
      <c r="D564" s="316">
        <f>E564+F564+G564</f>
        <v>2196275.9700000002</v>
      </c>
      <c r="E564" s="257">
        <v>1718388.2816877002</v>
      </c>
      <c r="F564" s="257">
        <v>109813.79850000002</v>
      </c>
      <c r="G564" s="269">
        <v>368073.88981229998</v>
      </c>
      <c r="H564" s="316">
        <f>SUM(I564:K564)</f>
        <v>2196275.9700000002</v>
      </c>
      <c r="I564" s="257">
        <v>1718388.28</v>
      </c>
      <c r="J564" s="257">
        <v>109813.8</v>
      </c>
      <c r="K564" s="269">
        <v>368073.89</v>
      </c>
      <c r="L564" s="270" t="s">
        <v>845</v>
      </c>
      <c r="M564" s="597">
        <v>42618</v>
      </c>
    </row>
    <row r="565" spans="1:13" outlineLevel="1" x14ac:dyDescent="0.25">
      <c r="A565" s="332"/>
      <c r="B565" s="16" t="s">
        <v>557</v>
      </c>
      <c r="C565" s="508"/>
      <c r="D565" s="53"/>
      <c r="E565" s="11"/>
      <c r="F565" s="11"/>
      <c r="G565" s="106"/>
      <c r="H565" s="53"/>
      <c r="I565" s="11"/>
      <c r="J565" s="11"/>
      <c r="K565" s="106"/>
      <c r="L565" s="27"/>
    </row>
    <row r="566" spans="1:13" outlineLevel="1" x14ac:dyDescent="0.25">
      <c r="A566" s="332"/>
      <c r="B566" s="16" t="s">
        <v>554</v>
      </c>
      <c r="C566" s="508"/>
      <c r="D566" s="53"/>
      <c r="E566" s="11"/>
      <c r="F566" s="11"/>
      <c r="G566" s="106"/>
      <c r="H566" s="53"/>
      <c r="I566" s="11"/>
      <c r="J566" s="11"/>
      <c r="K566" s="106"/>
      <c r="L566" s="27"/>
    </row>
    <row r="567" spans="1:13" outlineLevel="1" x14ac:dyDescent="0.25">
      <c r="A567" s="332"/>
      <c r="B567" s="16" t="s">
        <v>67</v>
      </c>
      <c r="C567" s="508"/>
      <c r="D567" s="53"/>
      <c r="E567" s="11"/>
      <c r="F567" s="11"/>
      <c r="G567" s="106"/>
      <c r="H567" s="53"/>
      <c r="I567" s="11"/>
      <c r="J567" s="11"/>
      <c r="K567" s="106"/>
      <c r="L567" s="27"/>
    </row>
    <row r="568" spans="1:13" ht="30" customHeight="1" thickBot="1" x14ac:dyDescent="0.3">
      <c r="A568" s="334">
        <v>150</v>
      </c>
      <c r="B568" s="335" t="s">
        <v>556</v>
      </c>
      <c r="C568" s="511"/>
      <c r="D568" s="325"/>
      <c r="E568" s="326"/>
      <c r="F568" s="326"/>
      <c r="G568" s="327"/>
      <c r="H568" s="325"/>
      <c r="I568" s="326"/>
      <c r="J568" s="326"/>
      <c r="K568" s="327"/>
      <c r="L568" s="322"/>
    </row>
    <row r="569" spans="1:13" x14ac:dyDescent="0.25">
      <c r="A569" s="328"/>
      <c r="B569" s="329"/>
      <c r="C569" s="512"/>
      <c r="D569" s="320"/>
      <c r="E569" s="320"/>
      <c r="F569" s="320"/>
      <c r="G569" s="320"/>
      <c r="H569" s="320"/>
      <c r="I569" s="320"/>
      <c r="J569" s="320"/>
      <c r="K569" s="320"/>
      <c r="L569" s="320"/>
    </row>
    <row r="570" spans="1:13" s="244" customFormat="1" x14ac:dyDescent="0.25">
      <c r="A570" s="207"/>
      <c r="B570" s="208"/>
      <c r="C570" s="513"/>
      <c r="D570" s="243"/>
      <c r="E570" s="243"/>
      <c r="F570" s="243"/>
      <c r="G570" s="243"/>
      <c r="H570" s="243"/>
      <c r="I570" s="243"/>
      <c r="J570" s="243"/>
      <c r="K570" s="243"/>
      <c r="L570" s="243"/>
      <c r="M570" s="657"/>
    </row>
    <row r="572" spans="1:13" ht="15.75" thickBot="1" x14ac:dyDescent="0.3"/>
    <row r="573" spans="1:13" x14ac:dyDescent="0.25">
      <c r="B573" s="276" t="s">
        <v>68</v>
      </c>
      <c r="C573" s="279">
        <f t="shared" ref="C573:K573" si="308">C122+C231+C243+C313+C369+C372+C377+C452+C457+C464+C529+C563</f>
        <v>2034087.1099999999</v>
      </c>
      <c r="D573" s="279">
        <f t="shared" si="308"/>
        <v>2034087.1099999999</v>
      </c>
      <c r="E573" s="279">
        <f t="shared" si="308"/>
        <v>1593639.65</v>
      </c>
      <c r="F573" s="279">
        <f t="shared" si="308"/>
        <v>101704.34999999999</v>
      </c>
      <c r="G573" s="279">
        <f t="shared" si="308"/>
        <v>338743.11</v>
      </c>
      <c r="H573" s="279">
        <f t="shared" si="308"/>
        <v>0</v>
      </c>
      <c r="I573" s="279">
        <f t="shared" si="308"/>
        <v>0</v>
      </c>
      <c r="J573" s="279">
        <f t="shared" si="308"/>
        <v>0</v>
      </c>
      <c r="K573" s="277">
        <f t="shared" si="308"/>
        <v>0</v>
      </c>
    </row>
    <row r="574" spans="1:13" x14ac:dyDescent="0.25">
      <c r="B574" s="278" t="s">
        <v>64</v>
      </c>
      <c r="C574" s="12">
        <f t="shared" ref="C574:K574" si="309">C123+C232+C244+C305+C373+C378+C453+C458+C465+C469+C530+C539</f>
        <v>23564392.170000002</v>
      </c>
      <c r="D574" s="12">
        <f t="shared" si="309"/>
        <v>23564392.170000002</v>
      </c>
      <c r="E574" s="12">
        <f t="shared" si="309"/>
        <v>18445884.349131901</v>
      </c>
      <c r="F574" s="12">
        <f t="shared" si="309"/>
        <v>1178219.6095</v>
      </c>
      <c r="G574" s="12">
        <f t="shared" si="309"/>
        <v>3940288.2113680998</v>
      </c>
      <c r="H574" s="12">
        <f t="shared" si="309"/>
        <v>18099863.079999998</v>
      </c>
      <c r="I574" s="12">
        <f t="shared" si="309"/>
        <v>14161513.870000001</v>
      </c>
      <c r="J574" s="12">
        <f t="shared" si="309"/>
        <v>904993.16</v>
      </c>
      <c r="K574" s="16">
        <f t="shared" si="309"/>
        <v>3033356.05</v>
      </c>
    </row>
    <row r="575" spans="1:13" x14ac:dyDescent="0.25">
      <c r="B575" s="278" t="s">
        <v>65</v>
      </c>
      <c r="C575" s="12">
        <f t="shared" ref="C575:K575" si="310">C124+C245+C353+C459+C531+C540</f>
        <v>0</v>
      </c>
      <c r="D575" s="12">
        <f t="shared" si="310"/>
        <v>0</v>
      </c>
      <c r="E575" s="12">
        <f t="shared" si="310"/>
        <v>0</v>
      </c>
      <c r="F575" s="12">
        <f t="shared" si="310"/>
        <v>0</v>
      </c>
      <c r="G575" s="12">
        <f t="shared" si="310"/>
        <v>0</v>
      </c>
      <c r="H575" s="12">
        <f t="shared" si="310"/>
        <v>0</v>
      </c>
      <c r="I575" s="12">
        <f t="shared" si="310"/>
        <v>0</v>
      </c>
      <c r="J575" s="12">
        <f t="shared" si="310"/>
        <v>0</v>
      </c>
      <c r="K575" s="16">
        <f t="shared" si="310"/>
        <v>0</v>
      </c>
      <c r="L575" s="604"/>
    </row>
    <row r="576" spans="1:13" x14ac:dyDescent="0.25">
      <c r="B576" s="278" t="s">
        <v>66</v>
      </c>
      <c r="C576" s="12">
        <f t="shared" ref="C576:K576" si="311">C125+C246+C354+C460+C532+C541</f>
        <v>0</v>
      </c>
      <c r="D576" s="12">
        <f t="shared" si="311"/>
        <v>0</v>
      </c>
      <c r="E576" s="12">
        <f t="shared" si="311"/>
        <v>0</v>
      </c>
      <c r="F576" s="12">
        <f t="shared" si="311"/>
        <v>0</v>
      </c>
      <c r="G576" s="12">
        <f t="shared" si="311"/>
        <v>0</v>
      </c>
      <c r="H576" s="12">
        <f t="shared" si="311"/>
        <v>0</v>
      </c>
      <c r="I576" s="12">
        <f t="shared" si="311"/>
        <v>0</v>
      </c>
      <c r="J576" s="12">
        <f t="shared" si="311"/>
        <v>0</v>
      </c>
      <c r="K576" s="16">
        <f t="shared" si="311"/>
        <v>0</v>
      </c>
      <c r="L576" s="604"/>
    </row>
    <row r="577" spans="1:12" x14ac:dyDescent="0.25">
      <c r="B577" s="278" t="s">
        <v>555</v>
      </c>
      <c r="C577" s="12">
        <f t="shared" ref="C577:K577" si="312">C8+C11+C14+C18+C22+C25+C28+C33+C36+C39+C43+C46+C49+C52+C56+C60+C63+C66+C69+C72+C75+C78+C81+C85+C90+C93+C97+C100+C104+C107+C110+C118+C129+C133+C137+C140+C144+C148+C155+C158+C161+C164+C168+C174+C178+C182+C186+C190+C193+C196+C200+C203+C206+C209+C213+C217+C220+C228+C236+C239+C251+C255+C259+C263+C267+C271+C275+C279+C282+C286+C290+C293+C297+C301+C314+C318+C326+C333+C337+C341+C345+C349+C359+C363+C366+C383+C386+C389+C392+C395+C398+C401+C404+C408+C413+C416+C419+C422+C426+C430+C433+C436+C439+C443+C446+C449+C470+C475+C478+C481+C484+C487+C491+C495+C499+C503+C506+C510+C514+C518+C522+C536+C545+C548+C553+C557+C560+C564</f>
        <v>476791292.90000015</v>
      </c>
      <c r="D577" s="12">
        <f t="shared" si="312"/>
        <v>476791292.90000021</v>
      </c>
      <c r="E577" s="12">
        <f t="shared" si="312"/>
        <v>341104669.18704152</v>
      </c>
      <c r="F577" s="12">
        <f t="shared" si="312"/>
        <v>23034532.8125</v>
      </c>
      <c r="G577" s="12">
        <f t="shared" si="312"/>
        <v>112652090.9004584</v>
      </c>
      <c r="H577" s="12">
        <f t="shared" si="312"/>
        <v>461870989.29000014</v>
      </c>
      <c r="I577" s="12">
        <f t="shared" si="312"/>
        <v>329430874.47000003</v>
      </c>
      <c r="J577" s="12">
        <f t="shared" si="312"/>
        <v>22288517.660000004</v>
      </c>
      <c r="K577" s="16">
        <f t="shared" si="312"/>
        <v>110151597.15999998</v>
      </c>
      <c r="L577" s="604"/>
    </row>
    <row r="578" spans="1:12" x14ac:dyDescent="0.25">
      <c r="B578" s="278" t="s">
        <v>557</v>
      </c>
      <c r="C578" s="12">
        <f t="shared" ref="C578:K578" si="313">C29+C82+C86+C114+C151+C224+C247+C322+C329+C355+C379+C409+C471+C526+C549+C565</f>
        <v>5787209.7699999996</v>
      </c>
      <c r="D578" s="12">
        <f t="shared" si="313"/>
        <v>5787209.7699999996</v>
      </c>
      <c r="E578" s="12">
        <f t="shared" si="313"/>
        <v>4499255.3626348004</v>
      </c>
      <c r="F578" s="12">
        <f t="shared" si="313"/>
        <v>289360.48050000001</v>
      </c>
      <c r="G578" s="12">
        <f t="shared" si="313"/>
        <v>998593.92686520005</v>
      </c>
      <c r="H578" s="12">
        <f t="shared" si="313"/>
        <v>1772115.81</v>
      </c>
      <c r="I578" s="12">
        <f t="shared" si="313"/>
        <v>1199864.17</v>
      </c>
      <c r="J578" s="12">
        <f t="shared" si="313"/>
        <v>88605.79</v>
      </c>
      <c r="K578" s="16">
        <f t="shared" si="313"/>
        <v>483645.85</v>
      </c>
      <c r="L578" s="604"/>
    </row>
    <row r="579" spans="1:12" x14ac:dyDescent="0.25">
      <c r="B579" s="278" t="s">
        <v>554</v>
      </c>
      <c r="C579" s="12">
        <f>C15+C19+C30+C40+C53+C57+C87+C94+C101+C111+C115+C119+C126+C130+C134+C141+C145+C152+C165+C169+C175+C179+C183+C187+C197+C210+C214+C221+C225+C233+C240+C248+C252+C256+C260+C264+C268+C272+C276+C283+C287+C294+C298+C302+C306+C310+C315+C319+C323+C330+C334+C338+C342+C346+C350+C356+C360+C374+C380+C405+C410+C423+C427+C440+C454+C461+C466+C472+C488+C492+C496+C500+C507+C511+C515+C519+C523+C533+C542+C550+C554+C566</f>
        <v>0</v>
      </c>
      <c r="D579" s="12">
        <f t="shared" ref="D579:K579" si="314">D15+D19+D30+D40+D53+D57+D87+D94+D101+D111+D115+D119+D126+D130+D134+D141+D145+D152+D165+D169+D175+D179+D183+D187+D197+D210+D214+D221+D225+D233+D240+D248+D252+D256+D260+D264+D268+D272+D276+D283+D287+D294+D298+D302+D306+D310+D315+D319+D323+D330+D334+D338+D342+D346+D350+D356+D360+D374+D380+D405+D410+D423+D427+D440+D454+D461+D466+D472+D488+D492+D496+D500+D507+D511+D515+D519+D523+D533+D542+D550+D554+D566</f>
        <v>0</v>
      </c>
      <c r="E579" s="12">
        <f t="shared" si="314"/>
        <v>0</v>
      </c>
      <c r="F579" s="12">
        <f t="shared" si="314"/>
        <v>0</v>
      </c>
      <c r="G579" s="12">
        <f t="shared" si="314"/>
        <v>0</v>
      </c>
      <c r="H579" s="12">
        <f t="shared" si="314"/>
        <v>0</v>
      </c>
      <c r="I579" s="12">
        <f t="shared" si="314"/>
        <v>0</v>
      </c>
      <c r="J579" s="12">
        <f t="shared" si="314"/>
        <v>0</v>
      </c>
      <c r="K579" s="12">
        <f t="shared" si="314"/>
        <v>0</v>
      </c>
      <c r="L579" s="604"/>
    </row>
    <row r="580" spans="1:12" x14ac:dyDescent="0.25">
      <c r="A580" s="62"/>
      <c r="B580" s="281" t="s">
        <v>67</v>
      </c>
      <c r="C580" s="12">
        <f t="shared" ref="C580:K580" si="315">C9+C12+C16+C20+C23+C26+C31+C34+C37+C41+C44+C47+C50+C54+C58+C61+C64+C67+C70+C73+C76+C79+C83+C88+C91+C95+C98+C102+C105+C108+C112+C116+C120+C127+C131+C135+C138+C142+C146+C149+C153+C156+C159+C162+C166+C170+C172+C176+C180+C184+C191+C194+C198+C201+C204+C207+C211+C215+C218+C222+C226+C229+C234+C237+C241+C249+C253+C257+C261+C265+C269+C273+C277+C280+C284+C288+C291+C295+C299+C303+C307+C311+C316+C320+C324+C327+C331+C335+C339+C343+C347+C351+C357+C361+C364+C367+C370+C375+C381+C384+C387+C390+C393+C396+C399+C402+C406+C411+C414+C417+C420+C424+C428+C431+C434+C437+C441+C444+C447+C450+C455+C462+C467+C473+C476+C479+C482+C485+C489+C493+C497+C501+C504+C508+C512+C516+C520+C524+C527+C534+C537+C543+C546+C551+C555+C558+C561+C567</f>
        <v>5489791.9199999999</v>
      </c>
      <c r="D580" s="12">
        <f t="shared" si="315"/>
        <v>5489791.9199999999</v>
      </c>
      <c r="E580" s="12">
        <f t="shared" si="315"/>
        <v>3770377.6660026005</v>
      </c>
      <c r="F580" s="12">
        <f t="shared" si="315"/>
        <v>274489.6069999999</v>
      </c>
      <c r="G580" s="12">
        <f t="shared" si="315"/>
        <v>1444924.6469974003</v>
      </c>
      <c r="H580" s="12">
        <f t="shared" si="315"/>
        <v>5489791.9199999999</v>
      </c>
      <c r="I580" s="12">
        <f t="shared" si="315"/>
        <v>3770377.67</v>
      </c>
      <c r="J580" s="12">
        <f t="shared" si="315"/>
        <v>274489.62</v>
      </c>
      <c r="K580" s="16">
        <f t="shared" si="315"/>
        <v>1444924.6299999997</v>
      </c>
      <c r="L580" s="604"/>
    </row>
    <row r="581" spans="1:12" ht="15.75" thickBot="1" x14ac:dyDescent="0.3">
      <c r="A581" s="62"/>
      <c r="B581" s="282" t="s">
        <v>625</v>
      </c>
      <c r="C581" s="18">
        <f t="shared" ref="C581:K581" si="316">SUBTOTAL(9,C573:C580)</f>
        <v>513666773.87000018</v>
      </c>
      <c r="D581" s="18">
        <f t="shared" si="316"/>
        <v>513666773.87000018</v>
      </c>
      <c r="E581" s="18">
        <f t="shared" si="316"/>
        <v>369413826.21481079</v>
      </c>
      <c r="F581" s="18">
        <f t="shared" si="316"/>
        <v>24878306.859500002</v>
      </c>
      <c r="G581" s="18">
        <f t="shared" si="316"/>
        <v>119374640.79568911</v>
      </c>
      <c r="H581" s="18">
        <f t="shared" si="316"/>
        <v>487232760.10000014</v>
      </c>
      <c r="I581" s="18">
        <f t="shared" si="316"/>
        <v>348562630.18000007</v>
      </c>
      <c r="J581" s="18">
        <f t="shared" si="316"/>
        <v>23556606.230000004</v>
      </c>
      <c r="K581" s="19">
        <f t="shared" si="316"/>
        <v>115113523.68999997</v>
      </c>
    </row>
    <row r="582" spans="1:12" x14ac:dyDescent="0.25">
      <c r="A582" s="62"/>
      <c r="B582" s="71"/>
      <c r="C582" s="96">
        <f t="shared" ref="C582:K582" si="317">C6</f>
        <v>513666773.87</v>
      </c>
      <c r="D582" s="96">
        <f t="shared" si="317"/>
        <v>513666773.87</v>
      </c>
      <c r="E582" s="96">
        <f t="shared" si="317"/>
        <v>369413826.21481085</v>
      </c>
      <c r="F582" s="96">
        <f t="shared" si="317"/>
        <v>24878306.859499995</v>
      </c>
      <c r="G582" s="96">
        <f t="shared" si="317"/>
        <v>119374640.79568914</v>
      </c>
      <c r="H582" s="96">
        <f t="shared" si="317"/>
        <v>487232760.10000002</v>
      </c>
      <c r="I582" s="96">
        <f t="shared" si="317"/>
        <v>348562630.18000001</v>
      </c>
      <c r="J582" s="96">
        <f t="shared" si="317"/>
        <v>23556606.229999997</v>
      </c>
      <c r="K582" s="96">
        <f t="shared" si="317"/>
        <v>115113523.68999998</v>
      </c>
    </row>
    <row r="583" spans="1:12" x14ac:dyDescent="0.25">
      <c r="A583" s="62"/>
      <c r="B583" s="96" t="s">
        <v>627</v>
      </c>
      <c r="C583" s="96">
        <f t="shared" ref="C583:K583" si="318">C581-C582</f>
        <v>0</v>
      </c>
      <c r="D583" s="96">
        <f t="shared" si="318"/>
        <v>0</v>
      </c>
      <c r="E583" s="96">
        <f t="shared" si="318"/>
        <v>0</v>
      </c>
      <c r="F583" s="96">
        <f t="shared" si="318"/>
        <v>0</v>
      </c>
      <c r="G583" s="96">
        <f t="shared" si="318"/>
        <v>0</v>
      </c>
      <c r="H583" s="96">
        <f t="shared" si="318"/>
        <v>0</v>
      </c>
      <c r="I583" s="96">
        <f t="shared" si="318"/>
        <v>0</v>
      </c>
      <c r="J583" s="96">
        <f t="shared" si="318"/>
        <v>0</v>
      </c>
      <c r="K583" s="96">
        <f t="shared" si="318"/>
        <v>0</v>
      </c>
    </row>
  </sheetData>
  <autoFilter ref="A6:M568"/>
  <mergeCells count="8">
    <mergeCell ref="M4:M5"/>
    <mergeCell ref="A1:L3"/>
    <mergeCell ref="D4:G4"/>
    <mergeCell ref="H4:K4"/>
    <mergeCell ref="L4:L5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1" manualBreakCount="11">
    <brk id="41" max="12" man="1"/>
    <brk id="127" max="12" man="1"/>
    <brk id="170" max="12" man="1"/>
    <brk id="211" max="12" man="1"/>
    <brk id="253" max="12" man="1"/>
    <brk id="295" max="12" man="1"/>
    <brk id="339" max="12" man="1"/>
    <brk id="381" max="12" man="1"/>
    <brk id="424" max="12" man="1"/>
    <brk id="467" max="12" man="1"/>
    <brk id="55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/>
    <outlinePr summaryBelow="0"/>
  </sheetPr>
  <dimension ref="A1:M142"/>
  <sheetViews>
    <sheetView view="pageBreakPreview" zoomScale="75" zoomScaleNormal="85" zoomScaleSheetLayoutView="75" workbookViewId="0">
      <selection sqref="A1:L3"/>
    </sheetView>
  </sheetViews>
  <sheetFormatPr defaultColWidth="9.140625" defaultRowHeight="15" outlineLevelRow="1" x14ac:dyDescent="0.25"/>
  <cols>
    <col min="1" max="1" width="4.140625" style="25" customWidth="1"/>
    <col min="2" max="2" width="49.85546875" style="2" customWidth="1"/>
    <col min="3" max="3" width="17" style="2" customWidth="1"/>
    <col min="4" max="4" width="14.7109375" style="2" bestFit="1" customWidth="1"/>
    <col min="5" max="5" width="14.5703125" style="2" customWidth="1"/>
    <col min="6" max="6" width="13.7109375" style="2" customWidth="1"/>
    <col min="7" max="7" width="16.28515625" style="2" customWidth="1"/>
    <col min="8" max="8" width="14.7109375" style="2" bestFit="1" customWidth="1"/>
    <col min="9" max="9" width="15.42578125" style="2" customWidth="1"/>
    <col min="10" max="10" width="13.28515625" style="2" customWidth="1"/>
    <col min="11" max="11" width="15" style="2" customWidth="1"/>
    <col min="12" max="12" width="25.5703125" style="2" customWidth="1"/>
    <col min="13" max="13" width="11.140625" style="2" customWidth="1"/>
    <col min="14" max="16384" width="9.140625" style="2"/>
  </cols>
  <sheetData>
    <row r="1" spans="1:13" x14ac:dyDescent="0.25">
      <c r="A1" s="777" t="s">
        <v>876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3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3" ht="10.5" customHeight="1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3" s="5" customFormat="1" ht="32.25" customHeight="1" x14ac:dyDescent="0.25">
      <c r="A4" s="779" t="s">
        <v>0</v>
      </c>
      <c r="B4" s="748" t="s">
        <v>1</v>
      </c>
      <c r="C4" s="729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</row>
    <row r="5" spans="1:13" s="5" customFormat="1" ht="52.5" customHeight="1" x14ac:dyDescent="0.25">
      <c r="A5" s="775"/>
      <c r="B5" s="780"/>
      <c r="C5" s="730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</row>
    <row r="6" spans="1:13" s="25" customFormat="1" ht="36.75" customHeight="1" x14ac:dyDescent="0.25">
      <c r="A6" s="775" t="s">
        <v>8</v>
      </c>
      <c r="B6" s="776"/>
      <c r="C6" s="136">
        <f>C7+C13+C16+C21+C27+C30+C33+C36+C39+C44+C47+C50+C53+C60+C67+C70+C73+C76+C79+C85+C90+C96+C99+C102+C108+C114+C120+C126+C132</f>
        <v>69328956.299999982</v>
      </c>
      <c r="D6" s="40">
        <f>E6+F6+G6</f>
        <v>69328956.299999997</v>
      </c>
      <c r="E6" s="136">
        <f>E7+E13+E16+E21+E27+E30+E33+E36+E39+E44+E47+E50+E53+E60+E67+E70+E73+E76+E79+E85+E90+E96+E99+E102+E108+E114+E120+E126+E132</f>
        <v>55498144.654642403</v>
      </c>
      <c r="F6" s="136">
        <f t="shared" ref="F6:G6" si="0">F7+F13+F16+F21+F27+F30+F33+F36+F39+F44+F47+F50+F53+F60+F67+F70+F73+F76+F79+F85+F90+F96+F99+F102+F108+F114+F120+F126+F132</f>
        <v>3466447.8265</v>
      </c>
      <c r="G6" s="136">
        <f t="shared" si="0"/>
        <v>10364363.818857595</v>
      </c>
      <c r="H6" s="40">
        <f>I6+J6+K6</f>
        <v>40350481.530000001</v>
      </c>
      <c r="I6" s="136">
        <f>I7+I13+I16+I21+I27+I30+I33+I36+I39+I44+I47+I50+I53+I60+I67+I70+I73+I76+I79+I85+I90+I96+I99+I102+I108+I114+I120+I126+I132</f>
        <v>33351463.360000003</v>
      </c>
      <c r="J6" s="136">
        <f t="shared" ref="J6" si="1">J7+J13+J16+J21+J27+J30+J33+J36+J39+J44+J47+J50+J53+J60+J67+J70+J73+J76+J79+J85+J90+J96+J99+J102+J108+J114+J120+J126+J132</f>
        <v>2017524.0599999998</v>
      </c>
      <c r="K6" s="136">
        <f t="shared" ref="K6" si="2">K7+K13+K16+K21+K27+K30+K33+K36+K39+K44+K47+K50+K53+K60+K67+K70+K73+K76+K79+K85+K90+K96+K99+K102+K108+K114+K120+K126+K132</f>
        <v>4981494.1099999985</v>
      </c>
      <c r="L6" s="122"/>
    </row>
    <row r="7" spans="1:13" s="9" customFormat="1" ht="33" customHeight="1" x14ac:dyDescent="0.2">
      <c r="A7" s="121">
        <v>1</v>
      </c>
      <c r="B7" s="128" t="s">
        <v>77</v>
      </c>
      <c r="C7" s="78">
        <f>SUM(C8:C12)</f>
        <v>171533.69</v>
      </c>
      <c r="D7" s="40">
        <f>E7+F7+G7</f>
        <v>171533.69</v>
      </c>
      <c r="E7" s="117">
        <f>SUM(E8:E12)</f>
        <v>126180.18236400001</v>
      </c>
      <c r="F7" s="81">
        <f>SUM(F8:F12)</f>
        <v>8576.6845000000012</v>
      </c>
      <c r="G7" s="181">
        <f>SUM(G8:G12)</f>
        <v>36776.823135999992</v>
      </c>
      <c r="H7" s="40">
        <f>I7+J7+K7</f>
        <v>171533.69</v>
      </c>
      <c r="I7" s="75">
        <f>SUM(I8:I12)</f>
        <v>126180.19</v>
      </c>
      <c r="J7" s="75">
        <f>SUM(J8:J12)</f>
        <v>8576.68</v>
      </c>
      <c r="K7" s="181">
        <f>SUM(K8:K12)</f>
        <v>36776.82</v>
      </c>
      <c r="L7" s="35"/>
    </row>
    <row r="8" spans="1:13" outlineLevel="1" x14ac:dyDescent="0.25">
      <c r="A8" s="10"/>
      <c r="B8" s="129" t="s">
        <v>68</v>
      </c>
      <c r="C8" s="70"/>
      <c r="D8" s="42"/>
      <c r="E8" s="118"/>
      <c r="F8" s="41"/>
      <c r="G8" s="182"/>
      <c r="H8" s="42">
        <f>SUM(I8:K8)</f>
        <v>0</v>
      </c>
      <c r="I8" s="72"/>
      <c r="J8" s="72"/>
      <c r="K8" s="182"/>
      <c r="L8" s="28"/>
    </row>
    <row r="9" spans="1:13" outlineLevel="1" x14ac:dyDescent="0.25">
      <c r="A9" s="10"/>
      <c r="B9" s="129" t="s">
        <v>64</v>
      </c>
      <c r="C9" s="70"/>
      <c r="D9" s="42"/>
      <c r="E9" s="118"/>
      <c r="F9" s="41"/>
      <c r="G9" s="182"/>
      <c r="H9" s="42"/>
      <c r="I9" s="72"/>
      <c r="J9" s="72"/>
      <c r="K9" s="182"/>
      <c r="L9" s="28"/>
    </row>
    <row r="10" spans="1:13" outlineLevel="1" x14ac:dyDescent="0.25">
      <c r="A10" s="10"/>
      <c r="B10" s="129" t="s">
        <v>65</v>
      </c>
      <c r="C10" s="70"/>
      <c r="D10" s="42"/>
      <c r="E10" s="118"/>
      <c r="F10" s="41"/>
      <c r="G10" s="182"/>
      <c r="H10" s="42"/>
      <c r="I10" s="72"/>
      <c r="J10" s="72"/>
      <c r="K10" s="182"/>
      <c r="L10" s="28"/>
    </row>
    <row r="11" spans="1:13" outlineLevel="1" x14ac:dyDescent="0.25">
      <c r="A11" s="10"/>
      <c r="B11" s="129" t="s">
        <v>66</v>
      </c>
      <c r="C11" s="70"/>
      <c r="D11" s="42"/>
      <c r="E11" s="118"/>
      <c r="F11" s="41"/>
      <c r="G11" s="182"/>
      <c r="H11" s="42"/>
      <c r="I11" s="72"/>
      <c r="J11" s="72"/>
      <c r="K11" s="182"/>
      <c r="L11" s="28"/>
    </row>
    <row r="12" spans="1:13" s="91" customFormat="1" outlineLevel="1" x14ac:dyDescent="0.25">
      <c r="A12" s="260"/>
      <c r="B12" s="351" t="s">
        <v>67</v>
      </c>
      <c r="C12" s="352">
        <v>171533.69</v>
      </c>
      <c r="D12" s="249">
        <f t="shared" ref="D12" si="3">E12+F12+G12</f>
        <v>171533.69</v>
      </c>
      <c r="E12" s="250">
        <f>C12*0.7356</f>
        <v>126180.18236400001</v>
      </c>
      <c r="F12" s="250">
        <f>C12*5%</f>
        <v>8576.6845000000012</v>
      </c>
      <c r="G12" s="251">
        <f>C12-E12-F12</f>
        <v>36776.823135999992</v>
      </c>
      <c r="H12" s="249">
        <f>I12+J12+K12</f>
        <v>171533.69</v>
      </c>
      <c r="I12" s="250">
        <v>126180.19</v>
      </c>
      <c r="J12" s="250">
        <f>8576.68</f>
        <v>8576.68</v>
      </c>
      <c r="K12" s="253">
        <v>36776.82</v>
      </c>
      <c r="L12" s="271" t="s">
        <v>642</v>
      </c>
    </row>
    <row r="13" spans="1:13" s="395" customFormat="1" ht="27" customHeight="1" x14ac:dyDescent="0.2">
      <c r="A13" s="391">
        <v>2</v>
      </c>
      <c r="B13" s="643" t="s">
        <v>86</v>
      </c>
      <c r="C13" s="592">
        <f>SUM(C14:C15)</f>
        <v>4537073.7299999995</v>
      </c>
      <c r="D13" s="288">
        <f>E13+F13+G13</f>
        <v>4537073.7299999986</v>
      </c>
      <c r="E13" s="593">
        <f>SUM(E14:E15)</f>
        <v>3472721.5936559993</v>
      </c>
      <c r="F13" s="593">
        <f>SUM(F14:F15)</f>
        <v>226853.69299999994</v>
      </c>
      <c r="G13" s="291">
        <f>SUM(G14:G15)</f>
        <v>837498.4433439998</v>
      </c>
      <c r="H13" s="288">
        <f>I13+J13+K13</f>
        <v>117004.26000000001</v>
      </c>
      <c r="I13" s="289">
        <f>SUM(I14:I15)</f>
        <v>86068.34</v>
      </c>
      <c r="J13" s="289">
        <f>SUM(J14:J15)</f>
        <v>5850.21</v>
      </c>
      <c r="K13" s="291">
        <f>SUM(K14:K15)</f>
        <v>25085.71</v>
      </c>
      <c r="L13" s="400"/>
    </row>
    <row r="14" spans="1:13" s="91" customFormat="1" outlineLevel="1" x14ac:dyDescent="0.25">
      <c r="A14" s="260"/>
      <c r="B14" s="351" t="s">
        <v>555</v>
      </c>
      <c r="C14" s="352">
        <v>4420069.47</v>
      </c>
      <c r="D14" s="249">
        <f t="shared" ref="D14:D15" si="4">E14+F14+G14</f>
        <v>4420069.4699999988</v>
      </c>
      <c r="E14" s="609">
        <v>3386653.2599999993</v>
      </c>
      <c r="F14" s="609">
        <v>221003.47999999995</v>
      </c>
      <c r="G14" s="253">
        <v>812412.72999999975</v>
      </c>
      <c r="H14" s="249"/>
      <c r="I14" s="250"/>
      <c r="J14" s="250"/>
      <c r="K14" s="253"/>
      <c r="L14" s="271" t="s">
        <v>840</v>
      </c>
      <c r="M14" s="597">
        <v>42605</v>
      </c>
    </row>
    <row r="15" spans="1:13" s="91" customFormat="1" outlineLevel="1" x14ac:dyDescent="0.25">
      <c r="A15" s="260"/>
      <c r="B15" s="351" t="s">
        <v>67</v>
      </c>
      <c r="C15" s="352">
        <v>117004.26</v>
      </c>
      <c r="D15" s="249">
        <f t="shared" si="4"/>
        <v>117004.26</v>
      </c>
      <c r="E15" s="250">
        <f>C15*0.7356</f>
        <v>86068.333656000003</v>
      </c>
      <c r="F15" s="250">
        <f>C15*5%</f>
        <v>5850.2129999999997</v>
      </c>
      <c r="G15" s="251">
        <f>C15-E15-F15</f>
        <v>25085.713343999993</v>
      </c>
      <c r="H15" s="249">
        <f>I15+J15+K15</f>
        <v>117004.26000000001</v>
      </c>
      <c r="I15" s="250">
        <v>86068.34</v>
      </c>
      <c r="J15" s="250">
        <v>5850.21</v>
      </c>
      <c r="K15" s="253">
        <v>25085.71</v>
      </c>
      <c r="L15" s="271" t="s">
        <v>649</v>
      </c>
    </row>
    <row r="16" spans="1:13" s="9" customFormat="1" ht="24.75" customHeight="1" x14ac:dyDescent="0.2">
      <c r="A16" s="121">
        <v>3</v>
      </c>
      <c r="B16" s="128" t="s">
        <v>49</v>
      </c>
      <c r="C16" s="78">
        <f>SUM(C17:C20)</f>
        <v>132465.38</v>
      </c>
      <c r="D16" s="40">
        <f>E16+F16+G16</f>
        <v>132465.38</v>
      </c>
      <c r="E16" s="117">
        <f>SUM(E17:E20)</f>
        <v>97441.533528000014</v>
      </c>
      <c r="F16" s="81">
        <f>SUM(F17:F20)</f>
        <v>6623.2690000000002</v>
      </c>
      <c r="G16" s="181">
        <f>SUM(G17:G20)</f>
        <v>28400.57747199999</v>
      </c>
      <c r="H16" s="40">
        <f>I16+J16+K16</f>
        <v>132465.38</v>
      </c>
      <c r="I16" s="75">
        <f>SUM(I17:I20)</f>
        <v>97441.53</v>
      </c>
      <c r="J16" s="75">
        <f>SUM(J17:J20)</f>
        <v>6623.27</v>
      </c>
      <c r="K16" s="181">
        <f>SUM(K17:K20)</f>
        <v>28400.58</v>
      </c>
      <c r="L16" s="35"/>
    </row>
    <row r="17" spans="1:13" outlineLevel="1" x14ac:dyDescent="0.25">
      <c r="A17" s="10"/>
      <c r="B17" s="129" t="s">
        <v>68</v>
      </c>
      <c r="C17" s="70"/>
      <c r="D17" s="42"/>
      <c r="E17" s="118"/>
      <c r="F17" s="41"/>
      <c r="G17" s="182"/>
      <c r="H17" s="42"/>
      <c r="I17" s="72"/>
      <c r="J17" s="72"/>
      <c r="K17" s="182"/>
      <c r="L17" s="28"/>
    </row>
    <row r="18" spans="1:13" outlineLevel="1" x14ac:dyDescent="0.25">
      <c r="A18" s="10"/>
      <c r="B18" s="129" t="s">
        <v>65</v>
      </c>
      <c r="C18" s="70"/>
      <c r="D18" s="42"/>
      <c r="E18" s="118"/>
      <c r="F18" s="41"/>
      <c r="G18" s="182"/>
      <c r="H18" s="42"/>
      <c r="I18" s="72"/>
      <c r="J18" s="72"/>
      <c r="K18" s="182"/>
      <c r="L18" s="28"/>
    </row>
    <row r="19" spans="1:13" outlineLevel="1" x14ac:dyDescent="0.25">
      <c r="A19" s="10"/>
      <c r="B19" s="129" t="s">
        <v>66</v>
      </c>
      <c r="C19" s="70"/>
      <c r="D19" s="42"/>
      <c r="E19" s="118"/>
      <c r="F19" s="41"/>
      <c r="G19" s="182"/>
      <c r="H19" s="42"/>
      <c r="I19" s="72"/>
      <c r="J19" s="72"/>
      <c r="K19" s="182"/>
      <c r="L19" s="28"/>
    </row>
    <row r="20" spans="1:13" s="91" customFormat="1" outlineLevel="1" x14ac:dyDescent="0.25">
      <c r="A20" s="260"/>
      <c r="B20" s="351" t="s">
        <v>67</v>
      </c>
      <c r="C20" s="352">
        <v>132465.38</v>
      </c>
      <c r="D20" s="249">
        <f t="shared" ref="D20" si="5">E20+F20+G20</f>
        <v>132465.38</v>
      </c>
      <c r="E20" s="250">
        <f>C20*0.7356</f>
        <v>97441.533528000014</v>
      </c>
      <c r="F20" s="250">
        <f>C20*5%</f>
        <v>6623.2690000000002</v>
      </c>
      <c r="G20" s="251">
        <f>C20-E20-F20</f>
        <v>28400.57747199999</v>
      </c>
      <c r="H20" s="249">
        <f>I20+J20+K20</f>
        <v>132465.38</v>
      </c>
      <c r="I20" s="250">
        <v>97441.53</v>
      </c>
      <c r="J20" s="250">
        <f>6623.27</f>
        <v>6623.27</v>
      </c>
      <c r="K20" s="253">
        <v>28400.58</v>
      </c>
      <c r="L20" s="271" t="s">
        <v>642</v>
      </c>
    </row>
    <row r="21" spans="1:13" s="9" customFormat="1" ht="24.75" customHeight="1" x14ac:dyDescent="0.2">
      <c r="A21" s="121">
        <v>4</v>
      </c>
      <c r="B21" s="128" t="s">
        <v>50</v>
      </c>
      <c r="C21" s="78">
        <f>SUM(C22:C26)</f>
        <v>174078.67</v>
      </c>
      <c r="D21" s="40">
        <f>E21+F21+G21</f>
        <v>174078.67000000004</v>
      </c>
      <c r="E21" s="117">
        <f>SUM(E22:E26)</f>
        <v>128052.26965200002</v>
      </c>
      <c r="F21" s="81">
        <f>SUM(F22:F26)</f>
        <v>8703.933500000001</v>
      </c>
      <c r="G21" s="181">
        <f>SUM(G22:G26)</f>
        <v>37322.466847999996</v>
      </c>
      <c r="H21" s="40">
        <f>I21+J21+K21</f>
        <v>174078.67</v>
      </c>
      <c r="I21" s="75">
        <f>SUM(I22:I26)</f>
        <v>128052.27</v>
      </c>
      <c r="J21" s="75">
        <f>SUM(J22:J26)</f>
        <v>8703.93</v>
      </c>
      <c r="K21" s="181">
        <f>SUM(K22:K26)</f>
        <v>37322.47</v>
      </c>
      <c r="L21" s="35"/>
    </row>
    <row r="22" spans="1:13" outlineLevel="1" x14ac:dyDescent="0.25">
      <c r="A22" s="10"/>
      <c r="B22" s="280" t="s">
        <v>68</v>
      </c>
      <c r="C22" s="70"/>
      <c r="D22" s="42"/>
      <c r="E22" s="118"/>
      <c r="F22" s="41"/>
      <c r="G22" s="182"/>
      <c r="H22" s="42"/>
      <c r="I22" s="72"/>
      <c r="J22" s="72"/>
      <c r="K22" s="182"/>
      <c r="L22" s="28"/>
    </row>
    <row r="23" spans="1:13" outlineLevel="1" x14ac:dyDescent="0.25">
      <c r="A23" s="10"/>
      <c r="B23" s="129" t="s">
        <v>64</v>
      </c>
      <c r="C23" s="70"/>
      <c r="D23" s="42"/>
      <c r="E23" s="118"/>
      <c r="F23" s="41"/>
      <c r="G23" s="182"/>
      <c r="H23" s="42"/>
      <c r="I23" s="72"/>
      <c r="J23" s="72"/>
      <c r="K23" s="182"/>
      <c r="L23" s="28"/>
    </row>
    <row r="24" spans="1:13" outlineLevel="1" x14ac:dyDescent="0.25">
      <c r="A24" s="10"/>
      <c r="B24" s="129" t="s">
        <v>65</v>
      </c>
      <c r="C24" s="70"/>
      <c r="D24" s="42"/>
      <c r="E24" s="118"/>
      <c r="F24" s="41"/>
      <c r="G24" s="182"/>
      <c r="H24" s="42"/>
      <c r="I24" s="72"/>
      <c r="J24" s="72"/>
      <c r="K24" s="182"/>
      <c r="L24" s="28"/>
    </row>
    <row r="25" spans="1:13" outlineLevel="1" x14ac:dyDescent="0.25">
      <c r="A25" s="10"/>
      <c r="B25" s="129" t="s">
        <v>66</v>
      </c>
      <c r="C25" s="70"/>
      <c r="D25" s="42"/>
      <c r="E25" s="118"/>
      <c r="F25" s="41"/>
      <c r="G25" s="182"/>
      <c r="H25" s="42"/>
      <c r="I25" s="72"/>
      <c r="J25" s="72"/>
      <c r="K25" s="182"/>
      <c r="L25" s="28"/>
    </row>
    <row r="26" spans="1:13" s="91" customFormat="1" outlineLevel="1" x14ac:dyDescent="0.25">
      <c r="A26" s="260"/>
      <c r="B26" s="351" t="s">
        <v>67</v>
      </c>
      <c r="C26" s="352">
        <v>174078.67</v>
      </c>
      <c r="D26" s="249">
        <f t="shared" ref="D26" si="6">E26+F26+G26</f>
        <v>174078.67000000004</v>
      </c>
      <c r="E26" s="250">
        <f>C26*0.7356</f>
        <v>128052.26965200002</v>
      </c>
      <c r="F26" s="250">
        <f>C26*5%</f>
        <v>8703.933500000001</v>
      </c>
      <c r="G26" s="251">
        <f>C26-E26-F26</f>
        <v>37322.466847999996</v>
      </c>
      <c r="H26" s="249">
        <f>I26+J26+K26</f>
        <v>174078.67</v>
      </c>
      <c r="I26" s="250">
        <v>128052.27</v>
      </c>
      <c r="J26" s="250">
        <f>8703.93</f>
        <v>8703.93</v>
      </c>
      <c r="K26" s="253">
        <v>37322.47</v>
      </c>
      <c r="L26" s="271" t="s">
        <v>642</v>
      </c>
    </row>
    <row r="27" spans="1:13" s="395" customFormat="1" ht="25.5" customHeight="1" x14ac:dyDescent="0.2">
      <c r="A27" s="391">
        <v>5</v>
      </c>
      <c r="B27" s="643" t="s">
        <v>91</v>
      </c>
      <c r="C27" s="592">
        <f>SUM(C28:C29)</f>
        <v>6499215.29</v>
      </c>
      <c r="D27" s="288">
        <f>E27+F27+G27</f>
        <v>6499215.290000001</v>
      </c>
      <c r="E27" s="593">
        <f>SUM(E28:E29)</f>
        <v>4974564.384428001</v>
      </c>
      <c r="F27" s="593">
        <f>SUM(F28:F29)</f>
        <v>324960.75650000002</v>
      </c>
      <c r="G27" s="291">
        <f>SUM(G28:G29)</f>
        <v>1199690.1490720001</v>
      </c>
      <c r="H27" s="288">
        <f>I27+J27+K27</f>
        <v>124923.13</v>
      </c>
      <c r="I27" s="289">
        <f>SUM(I28:I29)</f>
        <v>91893.45</v>
      </c>
      <c r="J27" s="289">
        <f>SUM(J28:J29)</f>
        <v>6246.16</v>
      </c>
      <c r="K27" s="291">
        <f>SUM(K28:K29)</f>
        <v>26783.52</v>
      </c>
      <c r="L27" s="400"/>
    </row>
    <row r="28" spans="1:13" s="91" customFormat="1" outlineLevel="1" x14ac:dyDescent="0.25">
      <c r="A28" s="260"/>
      <c r="B28" s="351" t="s">
        <v>555</v>
      </c>
      <c r="C28" s="352">
        <v>6374292.1600000001</v>
      </c>
      <c r="D28" s="249">
        <f t="shared" ref="D28:D29" si="7">E28+F28+G28</f>
        <v>6374292.1600000001</v>
      </c>
      <c r="E28" s="609">
        <v>4882670.9300000006</v>
      </c>
      <c r="F28" s="609">
        <v>318714.60000000003</v>
      </c>
      <c r="G28" s="253">
        <v>1172906.6300000001</v>
      </c>
      <c r="H28" s="249"/>
      <c r="I28" s="250"/>
      <c r="J28" s="250"/>
      <c r="K28" s="253"/>
      <c r="L28" s="271" t="s">
        <v>840</v>
      </c>
      <c r="M28" s="597">
        <v>42605</v>
      </c>
    </row>
    <row r="29" spans="1:13" s="91" customFormat="1" outlineLevel="1" x14ac:dyDescent="0.25">
      <c r="A29" s="260"/>
      <c r="B29" s="351" t="s">
        <v>67</v>
      </c>
      <c r="C29" s="352">
        <v>124923.13</v>
      </c>
      <c r="D29" s="249">
        <f t="shared" si="7"/>
        <v>124923.13</v>
      </c>
      <c r="E29" s="250">
        <f>C29*0.7356</f>
        <v>91893.454428000012</v>
      </c>
      <c r="F29" s="250">
        <f>C29*5%</f>
        <v>6246.156500000001</v>
      </c>
      <c r="G29" s="251">
        <f>C29-E29-F29</f>
        <v>26783.519071999992</v>
      </c>
      <c r="H29" s="249">
        <f>I29+J29+K29</f>
        <v>124923.13</v>
      </c>
      <c r="I29" s="250">
        <v>91893.45</v>
      </c>
      <c r="J29" s="250">
        <v>6246.16</v>
      </c>
      <c r="K29" s="253">
        <v>26783.52</v>
      </c>
      <c r="L29" s="271" t="s">
        <v>649</v>
      </c>
    </row>
    <row r="30" spans="1:13" s="9" customFormat="1" ht="25.5" x14ac:dyDescent="0.2">
      <c r="A30" s="121">
        <v>6</v>
      </c>
      <c r="B30" s="128" t="s">
        <v>548</v>
      </c>
      <c r="C30" s="78">
        <f>SUM(C31:C32)</f>
        <v>98824.13</v>
      </c>
      <c r="D30" s="40">
        <f>E30+F30+G30</f>
        <v>98824.13</v>
      </c>
      <c r="E30" s="117">
        <f>SUM(E31:E32)</f>
        <v>72695.030028000008</v>
      </c>
      <c r="F30" s="81">
        <f>SUM(F31:F32)</f>
        <v>4941.2065000000002</v>
      </c>
      <c r="G30" s="181">
        <f>SUM(G31:G32)</f>
        <v>21187.893471999996</v>
      </c>
      <c r="H30" s="40">
        <f>I30+J30+K30</f>
        <v>98824.13</v>
      </c>
      <c r="I30" s="75">
        <f>SUM(I31:I32)</f>
        <v>72695.03</v>
      </c>
      <c r="J30" s="75">
        <f>SUM(J31:J32)</f>
        <v>4941.21</v>
      </c>
      <c r="K30" s="181">
        <f>SUM(K31:K32)</f>
        <v>21187.89</v>
      </c>
      <c r="L30" s="35"/>
    </row>
    <row r="31" spans="1:13" outlineLevel="1" x14ac:dyDescent="0.25">
      <c r="A31" s="10"/>
      <c r="B31" s="129" t="s">
        <v>555</v>
      </c>
      <c r="C31" s="70"/>
      <c r="D31" s="42"/>
      <c r="E31" s="118"/>
      <c r="F31" s="41"/>
      <c r="G31" s="182"/>
      <c r="H31" s="42"/>
      <c r="I31" s="72"/>
      <c r="J31" s="72"/>
      <c r="K31" s="182"/>
      <c r="L31" s="28"/>
    </row>
    <row r="32" spans="1:13" s="91" customFormat="1" outlineLevel="1" x14ac:dyDescent="0.25">
      <c r="A32" s="260"/>
      <c r="B32" s="351" t="s">
        <v>67</v>
      </c>
      <c r="C32" s="352">
        <v>98824.13</v>
      </c>
      <c r="D32" s="249">
        <f t="shared" ref="D32" si="8">E32+F32+G32</f>
        <v>98824.13</v>
      </c>
      <c r="E32" s="250">
        <f>C32*0.7356</f>
        <v>72695.030028000008</v>
      </c>
      <c r="F32" s="250">
        <f>C32*5%</f>
        <v>4941.2065000000002</v>
      </c>
      <c r="G32" s="251">
        <f>C32-E32-F32</f>
        <v>21187.893471999996</v>
      </c>
      <c r="H32" s="249">
        <f>I32+J32+K32</f>
        <v>98824.13</v>
      </c>
      <c r="I32" s="250">
        <v>72695.03</v>
      </c>
      <c r="J32" s="250">
        <v>4941.21</v>
      </c>
      <c r="K32" s="253">
        <v>21187.89</v>
      </c>
      <c r="L32" s="271" t="s">
        <v>649</v>
      </c>
    </row>
    <row r="33" spans="1:13" s="9" customFormat="1" ht="32.25" customHeight="1" x14ac:dyDescent="0.2">
      <c r="A33" s="121">
        <v>7</v>
      </c>
      <c r="B33" s="128" t="s">
        <v>92</v>
      </c>
      <c r="C33" s="78">
        <f>SUM(C34:C35)</f>
        <v>120191.11</v>
      </c>
      <c r="D33" s="40">
        <f>E33+F33+G33</f>
        <v>120191.11</v>
      </c>
      <c r="E33" s="117">
        <f>SUM(E34:E35)</f>
        <v>88412.580516000002</v>
      </c>
      <c r="F33" s="81">
        <f>SUM(F34:F35)</f>
        <v>6009.5555000000004</v>
      </c>
      <c r="G33" s="181">
        <f>SUM(G34:G35)</f>
        <v>25768.973983999997</v>
      </c>
      <c r="H33" s="40">
        <f>I33+J33+K33</f>
        <v>120191.11</v>
      </c>
      <c r="I33" s="75">
        <f>SUM(I34:I35)</f>
        <v>88412.58</v>
      </c>
      <c r="J33" s="75">
        <f>SUM(J34:J35)</f>
        <v>6009.56</v>
      </c>
      <c r="K33" s="181">
        <f>SUM(K34:K35)</f>
        <v>25768.97</v>
      </c>
      <c r="L33" s="35"/>
    </row>
    <row r="34" spans="1:13" outlineLevel="1" x14ac:dyDescent="0.25">
      <c r="A34" s="10"/>
      <c r="B34" s="129" t="s">
        <v>555</v>
      </c>
      <c r="C34" s="70"/>
      <c r="D34" s="42"/>
      <c r="E34" s="118"/>
      <c r="F34" s="41"/>
      <c r="G34" s="182"/>
      <c r="H34" s="42"/>
      <c r="I34" s="72"/>
      <c r="J34" s="72"/>
      <c r="K34" s="182"/>
      <c r="L34" s="28"/>
    </row>
    <row r="35" spans="1:13" s="91" customFormat="1" outlineLevel="1" x14ac:dyDescent="0.25">
      <c r="A35" s="260"/>
      <c r="B35" s="351" t="s">
        <v>67</v>
      </c>
      <c r="C35" s="352">
        <v>120191.11</v>
      </c>
      <c r="D35" s="249">
        <f t="shared" ref="D35" si="9">E35+F35+G35</f>
        <v>120191.11</v>
      </c>
      <c r="E35" s="250">
        <f>C35*0.7356</f>
        <v>88412.580516000002</v>
      </c>
      <c r="F35" s="250">
        <f>C35*5%</f>
        <v>6009.5555000000004</v>
      </c>
      <c r="G35" s="251">
        <f>C35-E35-F35</f>
        <v>25768.973983999997</v>
      </c>
      <c r="H35" s="249">
        <f>I35+J35+K35</f>
        <v>120191.11</v>
      </c>
      <c r="I35" s="250">
        <v>88412.58</v>
      </c>
      <c r="J35" s="250">
        <v>6009.56</v>
      </c>
      <c r="K35" s="253">
        <v>25768.97</v>
      </c>
      <c r="L35" s="271" t="s">
        <v>649</v>
      </c>
    </row>
    <row r="36" spans="1:13" s="395" customFormat="1" ht="33" customHeight="1" x14ac:dyDescent="0.2">
      <c r="A36" s="391">
        <v>8</v>
      </c>
      <c r="B36" s="643" t="s">
        <v>549</v>
      </c>
      <c r="C36" s="592">
        <f>SUM(C37:C38)</f>
        <v>4183883.7</v>
      </c>
      <c r="D36" s="288">
        <f>E36+F36+G36</f>
        <v>4183883.7</v>
      </c>
      <c r="E36" s="593">
        <f>SUM(E37:E38)</f>
        <v>3202386.420136</v>
      </c>
      <c r="F36" s="593">
        <f>SUM(F37:F38)</f>
        <v>209194.193</v>
      </c>
      <c r="G36" s="291">
        <f>SUM(G37:G38)</f>
        <v>772303.08686399995</v>
      </c>
      <c r="H36" s="288">
        <f>I36+J36+K36</f>
        <v>106060.06</v>
      </c>
      <c r="I36" s="289">
        <f>SUM(I37:I38)</f>
        <v>78017.78</v>
      </c>
      <c r="J36" s="289">
        <f>SUM(J37:J38)</f>
        <v>5303</v>
      </c>
      <c r="K36" s="291">
        <f>SUM(K37:K38)</f>
        <v>22739.279999999999</v>
      </c>
      <c r="L36" s="400"/>
    </row>
    <row r="37" spans="1:13" s="91" customFormat="1" outlineLevel="1" x14ac:dyDescent="0.25">
      <c r="A37" s="260"/>
      <c r="B37" s="351" t="s">
        <v>555</v>
      </c>
      <c r="C37" s="352">
        <v>4077823.64</v>
      </c>
      <c r="D37" s="249">
        <f t="shared" ref="D37:D38" si="10">E37+F37+G37</f>
        <v>4077823.64</v>
      </c>
      <c r="E37" s="609">
        <v>3124368.64</v>
      </c>
      <c r="F37" s="609">
        <v>203891.19</v>
      </c>
      <c r="G37" s="253">
        <v>749563.80999999994</v>
      </c>
      <c r="H37" s="249"/>
      <c r="I37" s="250"/>
      <c r="J37" s="250"/>
      <c r="K37" s="253"/>
      <c r="L37" s="271" t="s">
        <v>840</v>
      </c>
      <c r="M37" s="597">
        <v>42605</v>
      </c>
    </row>
    <row r="38" spans="1:13" s="91" customFormat="1" outlineLevel="1" x14ac:dyDescent="0.25">
      <c r="A38" s="260"/>
      <c r="B38" s="351" t="s">
        <v>67</v>
      </c>
      <c r="C38" s="352">
        <v>106060.06</v>
      </c>
      <c r="D38" s="249">
        <f t="shared" si="10"/>
        <v>106060.06</v>
      </c>
      <c r="E38" s="250">
        <f>C38*0.7356</f>
        <v>78017.780136000001</v>
      </c>
      <c r="F38" s="250">
        <f>C38*5%</f>
        <v>5303.0030000000006</v>
      </c>
      <c r="G38" s="251">
        <f>C38-E38-F38</f>
        <v>22739.276863999996</v>
      </c>
      <c r="H38" s="249">
        <f>I38+J38+K38</f>
        <v>106060.06</v>
      </c>
      <c r="I38" s="250">
        <v>78017.78</v>
      </c>
      <c r="J38" s="250">
        <v>5303</v>
      </c>
      <c r="K38" s="253">
        <v>22739.279999999999</v>
      </c>
      <c r="L38" s="271" t="s">
        <v>649</v>
      </c>
    </row>
    <row r="39" spans="1:13" s="91" customFormat="1" ht="27.75" customHeight="1" outlineLevel="1" x14ac:dyDescent="0.25">
      <c r="A39" s="391">
        <v>9</v>
      </c>
      <c r="B39" s="643" t="s">
        <v>807</v>
      </c>
      <c r="C39" s="592">
        <f t="shared" ref="C39:K39" si="11">SUM(C40:C43)</f>
        <v>3665872.6599999997</v>
      </c>
      <c r="D39" s="592">
        <f t="shared" si="11"/>
        <v>3665872.6599999997</v>
      </c>
      <c r="E39" s="289">
        <f t="shared" si="11"/>
        <v>3036735.5940907998</v>
      </c>
      <c r="F39" s="289">
        <f t="shared" si="11"/>
        <v>183293.63300000003</v>
      </c>
      <c r="G39" s="568">
        <f t="shared" si="11"/>
        <v>445843.43290919991</v>
      </c>
      <c r="H39" s="592">
        <f t="shared" si="11"/>
        <v>3665872.66</v>
      </c>
      <c r="I39" s="289">
        <f t="shared" si="11"/>
        <v>3036735.6</v>
      </c>
      <c r="J39" s="289">
        <f t="shared" si="11"/>
        <v>183293.63</v>
      </c>
      <c r="K39" s="568">
        <f t="shared" si="11"/>
        <v>445843.43000000005</v>
      </c>
      <c r="L39" s="271"/>
    </row>
    <row r="40" spans="1:13" s="91" customFormat="1" outlineLevel="1" x14ac:dyDescent="0.25">
      <c r="A40" s="260"/>
      <c r="B40" s="594" t="s">
        <v>68</v>
      </c>
      <c r="C40" s="352">
        <v>445738.97</v>
      </c>
      <c r="D40" s="249">
        <f t="shared" ref="D40:D43" si="12">E40+F40+G40</f>
        <v>445738.97</v>
      </c>
      <c r="E40" s="609">
        <f>C40*0.82838</f>
        <v>369241.24796859996</v>
      </c>
      <c r="F40" s="609">
        <f>C40*5%</f>
        <v>22286.948499999999</v>
      </c>
      <c r="G40" s="253">
        <f>C40-E40-F40</f>
        <v>54210.773531400017</v>
      </c>
      <c r="H40" s="249">
        <f>I40+J40+K40</f>
        <v>445738.97000000003</v>
      </c>
      <c r="I40" s="250">
        <v>369241.25</v>
      </c>
      <c r="J40" s="250">
        <v>22286.95</v>
      </c>
      <c r="K40" s="253">
        <v>54210.77</v>
      </c>
      <c r="L40" s="271" t="s">
        <v>808</v>
      </c>
      <c r="M40" s="597">
        <v>42606</v>
      </c>
    </row>
    <row r="41" spans="1:13" s="91" customFormat="1" outlineLevel="1" x14ac:dyDescent="0.25">
      <c r="A41" s="260"/>
      <c r="B41" s="594" t="s">
        <v>64</v>
      </c>
      <c r="C41" s="352">
        <v>2493228.83</v>
      </c>
      <c r="D41" s="249">
        <f t="shared" si="12"/>
        <v>2493228.83</v>
      </c>
      <c r="E41" s="609">
        <f t="shared" ref="E41:E43" si="13">C41*0.82838</f>
        <v>2065340.8981954001</v>
      </c>
      <c r="F41" s="609">
        <f t="shared" ref="F41:F43" si="14">C41*5%</f>
        <v>124661.44150000002</v>
      </c>
      <c r="G41" s="253">
        <f t="shared" ref="G41:G43" si="15">C41-E41-F41</f>
        <v>303226.49030459992</v>
      </c>
      <c r="H41" s="249">
        <f>I41+J41+K41</f>
        <v>2493228.83</v>
      </c>
      <c r="I41" s="250">
        <v>2065340.9</v>
      </c>
      <c r="J41" s="250">
        <v>124661.44</v>
      </c>
      <c r="K41" s="253">
        <v>303226.49</v>
      </c>
      <c r="L41" s="271" t="s">
        <v>808</v>
      </c>
      <c r="M41" s="597">
        <v>42606</v>
      </c>
    </row>
    <row r="42" spans="1:13" s="91" customFormat="1" outlineLevel="1" x14ac:dyDescent="0.25">
      <c r="A42" s="260"/>
      <c r="B42" s="594" t="s">
        <v>65</v>
      </c>
      <c r="C42" s="352">
        <v>282144.44</v>
      </c>
      <c r="D42" s="249">
        <f t="shared" si="12"/>
        <v>282144.44</v>
      </c>
      <c r="E42" s="609">
        <f t="shared" si="13"/>
        <v>233722.81120719999</v>
      </c>
      <c r="F42" s="609">
        <f t="shared" si="14"/>
        <v>14107.222000000002</v>
      </c>
      <c r="G42" s="253">
        <f t="shared" si="15"/>
        <v>34314.406792800008</v>
      </c>
      <c r="H42" s="249">
        <f t="shared" ref="H42:H43" si="16">I42+J42+K42</f>
        <v>282144.44</v>
      </c>
      <c r="I42" s="250">
        <v>233722.81</v>
      </c>
      <c r="J42" s="250">
        <v>14107.22</v>
      </c>
      <c r="K42" s="253">
        <v>34314.410000000003</v>
      </c>
      <c r="L42" s="271" t="s">
        <v>808</v>
      </c>
      <c r="M42" s="597">
        <v>42606</v>
      </c>
    </row>
    <row r="43" spans="1:13" s="91" customFormat="1" outlineLevel="1" x14ac:dyDescent="0.25">
      <c r="A43" s="260"/>
      <c r="B43" s="594" t="s">
        <v>66</v>
      </c>
      <c r="C43" s="352">
        <v>444760.42</v>
      </c>
      <c r="D43" s="249">
        <f t="shared" si="12"/>
        <v>444760.42</v>
      </c>
      <c r="E43" s="609">
        <f t="shared" si="13"/>
        <v>368430.63671960001</v>
      </c>
      <c r="F43" s="609">
        <f t="shared" si="14"/>
        <v>22238.021000000001</v>
      </c>
      <c r="G43" s="253">
        <f t="shared" si="15"/>
        <v>54091.762280399977</v>
      </c>
      <c r="H43" s="249">
        <f t="shared" si="16"/>
        <v>444760.42000000004</v>
      </c>
      <c r="I43" s="250">
        <v>368430.64</v>
      </c>
      <c r="J43" s="250">
        <v>22238.02</v>
      </c>
      <c r="K43" s="253">
        <v>54091.76</v>
      </c>
      <c r="L43" s="271" t="s">
        <v>808</v>
      </c>
      <c r="M43" s="597">
        <v>42606</v>
      </c>
    </row>
    <row r="44" spans="1:13" s="395" customFormat="1" ht="29.25" customHeight="1" x14ac:dyDescent="0.2">
      <c r="A44" s="391">
        <v>10</v>
      </c>
      <c r="B44" s="643" t="s">
        <v>87</v>
      </c>
      <c r="C44" s="592">
        <f>SUM(C45:C46)</f>
        <v>2377340.9</v>
      </c>
      <c r="D44" s="288">
        <f>E44+F44+G44</f>
        <v>2377340.9</v>
      </c>
      <c r="E44" s="593">
        <f>SUM(E45:E46)</f>
        <v>1819640.504892</v>
      </c>
      <c r="F44" s="593">
        <f>SUM(F45:F46)</f>
        <v>118867.0485</v>
      </c>
      <c r="G44" s="291">
        <f>SUM(G45:G46)</f>
        <v>438833.34660799993</v>
      </c>
      <c r="H44" s="288">
        <f>I44+J44+K44</f>
        <v>75526.569999999992</v>
      </c>
      <c r="I44" s="289">
        <f>SUM(I45:I46)</f>
        <v>55557.34</v>
      </c>
      <c r="J44" s="289">
        <f>SUM(J45:J46)</f>
        <v>3776.33</v>
      </c>
      <c r="K44" s="291">
        <f>SUM(K45:K46)</f>
        <v>16192.9</v>
      </c>
      <c r="L44" s="400"/>
    </row>
    <row r="45" spans="1:13" s="91" customFormat="1" outlineLevel="1" x14ac:dyDescent="0.25">
      <c r="A45" s="260"/>
      <c r="B45" s="351" t="s">
        <v>555</v>
      </c>
      <c r="C45" s="352">
        <v>2301814.33</v>
      </c>
      <c r="D45" s="249">
        <f t="shared" ref="D45:D46" si="17">E45+F45+G45</f>
        <v>2301814.33</v>
      </c>
      <c r="E45" s="609">
        <v>1764083.16</v>
      </c>
      <c r="F45" s="609">
        <v>115090.72</v>
      </c>
      <c r="G45" s="253">
        <v>422640.44999999995</v>
      </c>
      <c r="H45" s="249"/>
      <c r="I45" s="250"/>
      <c r="J45" s="250"/>
      <c r="K45" s="253"/>
      <c r="L45" s="271" t="s">
        <v>840</v>
      </c>
      <c r="M45" s="597">
        <v>42605</v>
      </c>
    </row>
    <row r="46" spans="1:13" s="91" customFormat="1" outlineLevel="1" x14ac:dyDescent="0.25">
      <c r="A46" s="260"/>
      <c r="B46" s="351" t="s">
        <v>67</v>
      </c>
      <c r="C46" s="352">
        <v>75526.570000000007</v>
      </c>
      <c r="D46" s="249">
        <f t="shared" si="17"/>
        <v>75526.570000000007</v>
      </c>
      <c r="E46" s="250">
        <f>C46*0.7356</f>
        <v>55557.344892000008</v>
      </c>
      <c r="F46" s="250">
        <f>C46*5%</f>
        <v>3776.3285000000005</v>
      </c>
      <c r="G46" s="251">
        <f>C46-E46-F46</f>
        <v>16192.896607999999</v>
      </c>
      <c r="H46" s="249">
        <f>I46+J46+K46</f>
        <v>75526.569999999992</v>
      </c>
      <c r="I46" s="250">
        <v>55557.34</v>
      </c>
      <c r="J46" s="250">
        <v>3776.33</v>
      </c>
      <c r="K46" s="253">
        <v>16192.9</v>
      </c>
      <c r="L46" s="271" t="s">
        <v>649</v>
      </c>
    </row>
    <row r="47" spans="1:13" s="9" customFormat="1" ht="27.75" customHeight="1" x14ac:dyDescent="0.2">
      <c r="A47" s="121">
        <v>11</v>
      </c>
      <c r="B47" s="128" t="s">
        <v>93</v>
      </c>
      <c r="C47" s="78">
        <f>SUM(C48:C49)</f>
        <v>124653.47</v>
      </c>
      <c r="D47" s="40">
        <f>E47+F47+G47</f>
        <v>124653.47</v>
      </c>
      <c r="E47" s="117">
        <f>SUM(E48:E49)</f>
        <v>91695.09253200001</v>
      </c>
      <c r="F47" s="81">
        <f>SUM(F48:F49)</f>
        <v>6232.6735000000008</v>
      </c>
      <c r="G47" s="181">
        <f>SUM(G48:G49)</f>
        <v>26725.703967999991</v>
      </c>
      <c r="H47" s="40">
        <f>I47+J47+K47</f>
        <v>124653.47</v>
      </c>
      <c r="I47" s="75">
        <f>SUM(I48:I49)</f>
        <v>91695.1</v>
      </c>
      <c r="J47" s="75">
        <f>SUM(J48:J49)</f>
        <v>6232.67</v>
      </c>
      <c r="K47" s="181">
        <f>SUM(K48:K49)</f>
        <v>26725.7</v>
      </c>
      <c r="L47" s="35"/>
    </row>
    <row r="48" spans="1:13" outlineLevel="1" x14ac:dyDescent="0.25">
      <c r="A48" s="10"/>
      <c r="B48" s="129" t="s">
        <v>555</v>
      </c>
      <c r="C48" s="70"/>
      <c r="D48" s="42"/>
      <c r="E48" s="118"/>
      <c r="F48" s="41"/>
      <c r="G48" s="182"/>
      <c r="H48" s="42"/>
      <c r="I48" s="72"/>
      <c r="J48" s="72"/>
      <c r="K48" s="182"/>
      <c r="L48" s="28"/>
    </row>
    <row r="49" spans="1:13" s="91" customFormat="1" outlineLevel="1" x14ac:dyDescent="0.25">
      <c r="A49" s="260"/>
      <c r="B49" s="351" t="s">
        <v>67</v>
      </c>
      <c r="C49" s="352">
        <v>124653.47</v>
      </c>
      <c r="D49" s="249">
        <f t="shared" ref="D49" si="18">E49+F49+G49</f>
        <v>124653.47</v>
      </c>
      <c r="E49" s="250">
        <f>C49*0.7356</f>
        <v>91695.09253200001</v>
      </c>
      <c r="F49" s="250">
        <f>C49*5%</f>
        <v>6232.6735000000008</v>
      </c>
      <c r="G49" s="251">
        <f>C49-E49-F49</f>
        <v>26725.703967999991</v>
      </c>
      <c r="H49" s="249">
        <f>I49+J49+K49</f>
        <v>124653.47</v>
      </c>
      <c r="I49" s="250">
        <v>91695.1</v>
      </c>
      <c r="J49" s="250">
        <v>6232.67</v>
      </c>
      <c r="K49" s="253">
        <v>26725.7</v>
      </c>
      <c r="L49" s="271" t="s">
        <v>649</v>
      </c>
    </row>
    <row r="50" spans="1:13" s="9" customFormat="1" ht="29.25" customHeight="1" x14ac:dyDescent="0.2">
      <c r="A50" s="121">
        <v>12</v>
      </c>
      <c r="B50" s="128" t="s">
        <v>550</v>
      </c>
      <c r="C50" s="78">
        <f>SUM(C51:C52)</f>
        <v>106302.57</v>
      </c>
      <c r="D50" s="40">
        <f>E50+F50+G50</f>
        <v>106302.57</v>
      </c>
      <c r="E50" s="117">
        <f>SUM(E51:E52)</f>
        <v>78196.170492000005</v>
      </c>
      <c r="F50" s="81">
        <f>SUM(F51:F52)</f>
        <v>5315.1285000000007</v>
      </c>
      <c r="G50" s="181">
        <f>SUM(G51:G52)</f>
        <v>22791.271008000003</v>
      </c>
      <c r="H50" s="40">
        <f>I50+J50+K50</f>
        <v>106302.57</v>
      </c>
      <c r="I50" s="75">
        <f>SUM(I51:I52)</f>
        <v>78196.17</v>
      </c>
      <c r="J50" s="75">
        <f>SUM(J51:J52)</f>
        <v>5315.13</v>
      </c>
      <c r="K50" s="181">
        <f>SUM(K51:K52)</f>
        <v>22791.27</v>
      </c>
      <c r="L50" s="35"/>
    </row>
    <row r="51" spans="1:13" outlineLevel="1" x14ac:dyDescent="0.25">
      <c r="A51" s="10"/>
      <c r="B51" s="129" t="s">
        <v>555</v>
      </c>
      <c r="C51" s="70"/>
      <c r="D51" s="42"/>
      <c r="E51" s="118"/>
      <c r="F51" s="41"/>
      <c r="G51" s="182"/>
      <c r="H51" s="42"/>
      <c r="I51" s="72"/>
      <c r="J51" s="72"/>
      <c r="K51" s="182"/>
      <c r="L51" s="28"/>
    </row>
    <row r="52" spans="1:13" s="91" customFormat="1" outlineLevel="1" x14ac:dyDescent="0.25">
      <c r="A52" s="260"/>
      <c r="B52" s="351" t="s">
        <v>67</v>
      </c>
      <c r="C52" s="352">
        <v>106302.57</v>
      </c>
      <c r="D52" s="249">
        <f t="shared" ref="D52" si="19">E52+F52+G52</f>
        <v>106302.57</v>
      </c>
      <c r="E52" s="250">
        <f>C52*0.7356</f>
        <v>78196.170492000005</v>
      </c>
      <c r="F52" s="250">
        <f>C52*5%</f>
        <v>5315.1285000000007</v>
      </c>
      <c r="G52" s="251">
        <f>C52-E52-F52</f>
        <v>22791.271008000003</v>
      </c>
      <c r="H52" s="249">
        <f>I52+J52+K52</f>
        <v>106302.57</v>
      </c>
      <c r="I52" s="250">
        <v>78196.17</v>
      </c>
      <c r="J52" s="250">
        <v>5315.13</v>
      </c>
      <c r="K52" s="253">
        <v>22791.27</v>
      </c>
      <c r="L52" s="271" t="s">
        <v>649</v>
      </c>
    </row>
    <row r="53" spans="1:13" s="9" customFormat="1" ht="27" customHeight="1" x14ac:dyDescent="0.2">
      <c r="A53" s="121">
        <v>13</v>
      </c>
      <c r="B53" s="130" t="s">
        <v>78</v>
      </c>
      <c r="C53" s="78">
        <f>SUM(C54:C59)</f>
        <v>8100551.1499999994</v>
      </c>
      <c r="D53" s="40">
        <f>E53+F53+G53</f>
        <v>8100551.1500000004</v>
      </c>
      <c r="E53" s="117">
        <f>SUM(E54:E59)</f>
        <v>6776739.5412269998</v>
      </c>
      <c r="F53" s="81">
        <f>SUM(F54:F59)</f>
        <v>405027.5575</v>
      </c>
      <c r="G53" s="181">
        <f>SUM(G54:G59)</f>
        <v>918784.05127300031</v>
      </c>
      <c r="H53" s="40">
        <f>I53+J53+K53</f>
        <v>8100551.1499999994</v>
      </c>
      <c r="I53" s="75">
        <f>SUM(I54:I59)</f>
        <v>6803652.9199999999</v>
      </c>
      <c r="J53" s="75">
        <f>SUM(J54:J59)</f>
        <v>405027.55000000005</v>
      </c>
      <c r="K53" s="181">
        <f>SUM(K54:K59)</f>
        <v>891870.68</v>
      </c>
      <c r="L53" s="35"/>
    </row>
    <row r="54" spans="1:13" outlineLevel="1" x14ac:dyDescent="0.25">
      <c r="A54" s="10"/>
      <c r="B54" s="131" t="s">
        <v>68</v>
      </c>
      <c r="C54" s="70"/>
      <c r="D54" s="42"/>
      <c r="E54" s="118"/>
      <c r="F54" s="41"/>
      <c r="G54" s="182"/>
      <c r="H54" s="42"/>
      <c r="I54" s="72"/>
      <c r="J54" s="72"/>
      <c r="K54" s="182"/>
      <c r="L54" s="28"/>
    </row>
    <row r="55" spans="1:13" s="91" customFormat="1" outlineLevel="1" x14ac:dyDescent="0.25">
      <c r="A55" s="260"/>
      <c r="B55" s="594" t="s">
        <v>64</v>
      </c>
      <c r="C55" s="352">
        <v>3127164.27</v>
      </c>
      <c r="D55" s="249">
        <f t="shared" ref="D55:D57" si="20">E55+F55+G55</f>
        <v>3127164.27</v>
      </c>
      <c r="E55" s="250">
        <f t="shared" ref="E55:E57" si="21">C55*0.8399</f>
        <v>2626505.2703729998</v>
      </c>
      <c r="F55" s="250">
        <f t="shared" ref="F55:F57" si="22">C55*5%</f>
        <v>156358.21350000001</v>
      </c>
      <c r="G55" s="251">
        <f t="shared" ref="G55:G57" si="23">C55-E55-F55</f>
        <v>344300.78612700017</v>
      </c>
      <c r="H55" s="249">
        <f>I55+J55+K55</f>
        <v>3127164.27</v>
      </c>
      <c r="I55" s="250">
        <v>2637236.85</v>
      </c>
      <c r="J55" s="250">
        <v>156358.21</v>
      </c>
      <c r="K55" s="253">
        <v>333569.21000000002</v>
      </c>
      <c r="L55" s="271" t="s">
        <v>753</v>
      </c>
      <c r="M55" s="597">
        <v>42570</v>
      </c>
    </row>
    <row r="56" spans="1:13" s="91" customFormat="1" outlineLevel="1" x14ac:dyDescent="0.25">
      <c r="A56" s="260"/>
      <c r="B56" s="594" t="s">
        <v>65</v>
      </c>
      <c r="C56" s="352">
        <v>301347.40999999997</v>
      </c>
      <c r="D56" s="249">
        <f t="shared" si="20"/>
        <v>301347.40999999997</v>
      </c>
      <c r="E56" s="250">
        <f t="shared" si="21"/>
        <v>253101.68965899997</v>
      </c>
      <c r="F56" s="250">
        <f t="shared" si="22"/>
        <v>15067.370499999999</v>
      </c>
      <c r="G56" s="251">
        <f t="shared" si="23"/>
        <v>33178.34984100001</v>
      </c>
      <c r="H56" s="249">
        <f t="shared" ref="H56:H58" si="24">I56+J56+K56</f>
        <v>301347.41000000003</v>
      </c>
      <c r="I56" s="250">
        <v>254135.83</v>
      </c>
      <c r="J56" s="250">
        <v>15067.37</v>
      </c>
      <c r="K56" s="253">
        <v>32144.21</v>
      </c>
      <c r="L56" s="271" t="s">
        <v>753</v>
      </c>
      <c r="M56" s="597">
        <v>42570</v>
      </c>
    </row>
    <row r="57" spans="1:13" s="91" customFormat="1" outlineLevel="1" x14ac:dyDescent="0.25">
      <c r="A57" s="260"/>
      <c r="B57" s="594" t="s">
        <v>66</v>
      </c>
      <c r="C57" s="352">
        <v>338927.62</v>
      </c>
      <c r="D57" s="249">
        <f t="shared" si="20"/>
        <v>338927.62</v>
      </c>
      <c r="E57" s="250">
        <f t="shared" si="21"/>
        <v>284665.30803800002</v>
      </c>
      <c r="F57" s="250">
        <f t="shared" si="22"/>
        <v>16946.381000000001</v>
      </c>
      <c r="G57" s="251">
        <f t="shared" si="23"/>
        <v>37315.930961999977</v>
      </c>
      <c r="H57" s="249">
        <f t="shared" si="24"/>
        <v>338927.62</v>
      </c>
      <c r="I57" s="250">
        <v>285828.42</v>
      </c>
      <c r="J57" s="250">
        <v>16946.38</v>
      </c>
      <c r="K57" s="253">
        <v>36152.82</v>
      </c>
      <c r="L57" s="271" t="s">
        <v>753</v>
      </c>
      <c r="M57" s="597">
        <v>42570</v>
      </c>
    </row>
    <row r="58" spans="1:13" s="91" customFormat="1" outlineLevel="1" x14ac:dyDescent="0.25">
      <c r="A58" s="260"/>
      <c r="B58" s="594" t="s">
        <v>555</v>
      </c>
      <c r="C58" s="352">
        <v>4075073.79</v>
      </c>
      <c r="D58" s="249">
        <f t="shared" ref="D58" si="25">E58+F58+G58</f>
        <v>4075073.79</v>
      </c>
      <c r="E58" s="250">
        <f>C58*0.8399</f>
        <v>3422654.4762209998</v>
      </c>
      <c r="F58" s="250">
        <f>C58*5%</f>
        <v>203753.68950000001</v>
      </c>
      <c r="G58" s="251">
        <f>C58-E58-F58</f>
        <v>448665.62427900021</v>
      </c>
      <c r="H58" s="249">
        <f t="shared" si="24"/>
        <v>4075073.79</v>
      </c>
      <c r="I58" s="250">
        <v>3436639.02</v>
      </c>
      <c r="J58" s="250">
        <v>203753.69</v>
      </c>
      <c r="K58" s="253">
        <v>434681.08</v>
      </c>
      <c r="L58" s="271" t="s">
        <v>753</v>
      </c>
      <c r="M58" s="597">
        <v>42570</v>
      </c>
    </row>
    <row r="59" spans="1:13" s="91" customFormat="1" outlineLevel="1" x14ac:dyDescent="0.25">
      <c r="A59" s="260"/>
      <c r="B59" s="351" t="s">
        <v>67</v>
      </c>
      <c r="C59" s="352">
        <f>174359.81+83678.25</f>
        <v>258038.06</v>
      </c>
      <c r="D59" s="249">
        <f t="shared" ref="D59" si="26">E59+F59+G59</f>
        <v>258038.06</v>
      </c>
      <c r="E59" s="250">
        <f>C59*0.7356</f>
        <v>189812.796936</v>
      </c>
      <c r="F59" s="250">
        <f>C59*5%</f>
        <v>12901.903</v>
      </c>
      <c r="G59" s="251">
        <f>C59-E59-F59</f>
        <v>55323.360064</v>
      </c>
      <c r="H59" s="249">
        <f>I59+J59+K59</f>
        <v>258038.06</v>
      </c>
      <c r="I59" s="250">
        <f>61553.72+128259.08</f>
        <v>189812.8</v>
      </c>
      <c r="J59" s="250">
        <f>4183.91+8717.99</f>
        <v>12901.9</v>
      </c>
      <c r="K59" s="253">
        <f>37382.74+17940.62</f>
        <v>55323.360000000001</v>
      </c>
      <c r="L59" s="271" t="s">
        <v>648</v>
      </c>
    </row>
    <row r="60" spans="1:13" s="395" customFormat="1" ht="26.25" customHeight="1" x14ac:dyDescent="0.2">
      <c r="A60" s="391">
        <v>14</v>
      </c>
      <c r="B60" s="591" t="s">
        <v>79</v>
      </c>
      <c r="C60" s="592">
        <f>SUM(C61:C66)</f>
        <v>8703847.9200000018</v>
      </c>
      <c r="D60" s="288">
        <f>E60+F60+G60</f>
        <v>8703847.9199999999</v>
      </c>
      <c r="E60" s="593">
        <f>SUM(E61:E66)</f>
        <v>7283448.49835</v>
      </c>
      <c r="F60" s="593">
        <f>SUM(F61:F66)</f>
        <v>435192.39600000001</v>
      </c>
      <c r="G60" s="291">
        <f>SUM(G61:G66)</f>
        <v>985207.02564999997</v>
      </c>
      <c r="H60" s="288">
        <f>I60+J60+K60</f>
        <v>8703847.9199999999</v>
      </c>
      <c r="I60" s="289">
        <f>SUM(I61:I66)</f>
        <v>7310361.8700000001</v>
      </c>
      <c r="J60" s="289">
        <f>SUM(J61:J66)</f>
        <v>435192.4</v>
      </c>
      <c r="K60" s="291">
        <f>SUM(K61:K66)</f>
        <v>958293.65</v>
      </c>
      <c r="L60" s="400"/>
    </row>
    <row r="61" spans="1:13" s="91" customFormat="1" outlineLevel="1" x14ac:dyDescent="0.25">
      <c r="A61" s="260"/>
      <c r="B61" s="594" t="s">
        <v>68</v>
      </c>
      <c r="C61" s="352">
        <v>660167.18000000005</v>
      </c>
      <c r="D61" s="249">
        <f t="shared" ref="D61" si="27">E61+F61+G61</f>
        <v>660167.18000000017</v>
      </c>
      <c r="E61" s="250">
        <f t="shared" ref="E61" si="28">C61*0.8399</f>
        <v>554474.41448200005</v>
      </c>
      <c r="F61" s="250">
        <f t="shared" ref="F61" si="29">C61*5%</f>
        <v>33008.359000000004</v>
      </c>
      <c r="G61" s="251">
        <f t="shared" ref="G61" si="30">C61-E61-F61</f>
        <v>72684.406518000003</v>
      </c>
      <c r="H61" s="249">
        <f t="shared" ref="H61:H64" si="31">I61+J61+K61</f>
        <v>660167.17999999993</v>
      </c>
      <c r="I61" s="250">
        <v>556578.1</v>
      </c>
      <c r="J61" s="250">
        <v>33008.36</v>
      </c>
      <c r="K61" s="253">
        <v>70580.72</v>
      </c>
      <c r="L61" s="271" t="s">
        <v>753</v>
      </c>
      <c r="M61" s="597">
        <v>42570</v>
      </c>
    </row>
    <row r="62" spans="1:13" s="91" customFormat="1" outlineLevel="1" x14ac:dyDescent="0.25">
      <c r="A62" s="260"/>
      <c r="B62" s="594" t="s">
        <v>64</v>
      </c>
      <c r="C62" s="352">
        <v>3075585.68</v>
      </c>
      <c r="D62" s="249">
        <f t="shared" ref="D62:D65" si="32">E62+F62+G62</f>
        <v>3075585.68</v>
      </c>
      <c r="E62" s="250">
        <f t="shared" ref="E62:E65" si="33">C62*0.8399</f>
        <v>2583184.4126320002</v>
      </c>
      <c r="F62" s="250">
        <f t="shared" ref="F62:F65" si="34">C62*5%</f>
        <v>153779.28400000001</v>
      </c>
      <c r="G62" s="251">
        <f t="shared" ref="G62:G65" si="35">C62-E62-F62</f>
        <v>338621.98336800002</v>
      </c>
      <c r="H62" s="249">
        <f t="shared" si="31"/>
        <v>3075585.68</v>
      </c>
      <c r="I62" s="250">
        <v>2592985.06</v>
      </c>
      <c r="J62" s="250">
        <v>153779.29</v>
      </c>
      <c r="K62" s="253">
        <v>328821.33</v>
      </c>
      <c r="L62" s="271" t="s">
        <v>753</v>
      </c>
      <c r="M62" s="597">
        <v>42570</v>
      </c>
    </row>
    <row r="63" spans="1:13" s="91" customFormat="1" outlineLevel="1" x14ac:dyDescent="0.25">
      <c r="A63" s="260"/>
      <c r="B63" s="594" t="s">
        <v>65</v>
      </c>
      <c r="C63" s="352">
        <v>292540.95</v>
      </c>
      <c r="D63" s="249">
        <f t="shared" si="32"/>
        <v>292540.95</v>
      </c>
      <c r="E63" s="250">
        <f t="shared" si="33"/>
        <v>245705.143905</v>
      </c>
      <c r="F63" s="250">
        <f t="shared" si="34"/>
        <v>14627.047500000001</v>
      </c>
      <c r="G63" s="251">
        <f t="shared" si="35"/>
        <v>32208.758595000007</v>
      </c>
      <c r="H63" s="249">
        <f t="shared" si="31"/>
        <v>292540.95</v>
      </c>
      <c r="I63" s="250">
        <v>246637.35</v>
      </c>
      <c r="J63" s="250">
        <v>14627.05</v>
      </c>
      <c r="K63" s="253">
        <v>31276.55</v>
      </c>
      <c r="L63" s="271" t="s">
        <v>753</v>
      </c>
      <c r="M63" s="597">
        <v>42570</v>
      </c>
    </row>
    <row r="64" spans="1:13" s="91" customFormat="1" outlineLevel="1" x14ac:dyDescent="0.25">
      <c r="A64" s="260"/>
      <c r="B64" s="594" t="s">
        <v>66</v>
      </c>
      <c r="C64" s="352">
        <v>334122.08</v>
      </c>
      <c r="D64" s="249">
        <f t="shared" si="32"/>
        <v>334122.08</v>
      </c>
      <c r="E64" s="250">
        <f t="shared" si="33"/>
        <v>280629.13499200001</v>
      </c>
      <c r="F64" s="250">
        <f t="shared" si="34"/>
        <v>16706.104000000003</v>
      </c>
      <c r="G64" s="251">
        <f t="shared" si="35"/>
        <v>36786.841008000003</v>
      </c>
      <c r="H64" s="249">
        <f t="shared" si="31"/>
        <v>334122.07999999996</v>
      </c>
      <c r="I64" s="250">
        <v>281693.84999999998</v>
      </c>
      <c r="J64" s="250">
        <v>16706.099999999999</v>
      </c>
      <c r="K64" s="253">
        <v>35722.129999999997</v>
      </c>
      <c r="L64" s="271" t="s">
        <v>753</v>
      </c>
      <c r="M64" s="597">
        <v>42570</v>
      </c>
    </row>
    <row r="65" spans="1:13" s="91" customFormat="1" outlineLevel="1" x14ac:dyDescent="0.25">
      <c r="A65" s="260"/>
      <c r="B65" s="594" t="s">
        <v>555</v>
      </c>
      <c r="C65" s="352">
        <v>4083393.97</v>
      </c>
      <c r="D65" s="249">
        <f t="shared" si="32"/>
        <v>4083393.97</v>
      </c>
      <c r="E65" s="250">
        <f t="shared" si="33"/>
        <v>3429642.5954030002</v>
      </c>
      <c r="F65" s="250">
        <f t="shared" si="34"/>
        <v>204169.69850000003</v>
      </c>
      <c r="G65" s="251">
        <f t="shared" si="35"/>
        <v>449581.6760969999</v>
      </c>
      <c r="H65" s="249">
        <f>I65+J65+K65</f>
        <v>4083393.97</v>
      </c>
      <c r="I65" s="250">
        <v>3442654.71</v>
      </c>
      <c r="J65" s="250">
        <v>204169.7</v>
      </c>
      <c r="K65" s="253">
        <v>436569.56</v>
      </c>
      <c r="L65" s="271" t="s">
        <v>753</v>
      </c>
      <c r="M65" s="597">
        <v>42570</v>
      </c>
    </row>
    <row r="66" spans="1:13" s="91" customFormat="1" outlineLevel="1" x14ac:dyDescent="0.25">
      <c r="A66" s="260"/>
      <c r="B66" s="351" t="s">
        <v>67</v>
      </c>
      <c r="C66" s="352">
        <f>174359.81+83678.25</f>
        <v>258038.06</v>
      </c>
      <c r="D66" s="249">
        <f t="shared" ref="D66" si="36">E66+F66+G66</f>
        <v>258038.06</v>
      </c>
      <c r="E66" s="250">
        <f>C66*0.7356</f>
        <v>189812.796936</v>
      </c>
      <c r="F66" s="250">
        <f>C66*5%</f>
        <v>12901.903</v>
      </c>
      <c r="G66" s="251">
        <f>C66-E66-F66</f>
        <v>55323.360064</v>
      </c>
      <c r="H66" s="249">
        <f>I66+J66+K66</f>
        <v>258038.06</v>
      </c>
      <c r="I66" s="250">
        <f>61553.72+128259.08</f>
        <v>189812.8</v>
      </c>
      <c r="J66" s="250">
        <f>4183.91+8717.99</f>
        <v>12901.9</v>
      </c>
      <c r="K66" s="253">
        <f>37382.74+17940.62</f>
        <v>55323.360000000001</v>
      </c>
      <c r="L66" s="271" t="s">
        <v>648</v>
      </c>
    </row>
    <row r="67" spans="1:13" s="395" customFormat="1" ht="25.5" x14ac:dyDescent="0.2">
      <c r="A67" s="391">
        <v>15</v>
      </c>
      <c r="B67" s="591" t="s">
        <v>83</v>
      </c>
      <c r="C67" s="592">
        <f>SUM(C68:C69)</f>
        <v>3984834.7199999997</v>
      </c>
      <c r="D67" s="288">
        <f>E67+F67+G67</f>
        <v>3984834.7199999993</v>
      </c>
      <c r="E67" s="593">
        <f>SUM(E68:E69)</f>
        <v>3050032.3444799995</v>
      </c>
      <c r="F67" s="593">
        <f>SUM(F68:F69)</f>
        <v>199241.73999999996</v>
      </c>
      <c r="G67" s="291">
        <f>SUM(G68:G69)</f>
        <v>735560.63551999989</v>
      </c>
      <c r="H67" s="288">
        <f>I67+J67+K67</f>
        <v>83460.800000000003</v>
      </c>
      <c r="I67" s="289">
        <f>SUM(I68:I69)</f>
        <v>61393.760000000002</v>
      </c>
      <c r="J67" s="289">
        <f>SUM(J68:J69)</f>
        <v>4173.04</v>
      </c>
      <c r="K67" s="291">
        <f>SUM(K68:K69)</f>
        <v>17894</v>
      </c>
      <c r="L67" s="400"/>
    </row>
    <row r="68" spans="1:13" s="91" customFormat="1" outlineLevel="1" x14ac:dyDescent="0.25">
      <c r="A68" s="260"/>
      <c r="B68" s="594" t="s">
        <v>555</v>
      </c>
      <c r="C68" s="352">
        <v>3901373.92</v>
      </c>
      <c r="D68" s="249">
        <f t="shared" ref="D68:D71" si="37">E68+F68+G68</f>
        <v>3901373.919999999</v>
      </c>
      <c r="E68" s="609">
        <v>2988638.5799999996</v>
      </c>
      <c r="F68" s="609">
        <v>195068.69999999995</v>
      </c>
      <c r="G68" s="253">
        <v>717666.6399999999</v>
      </c>
      <c r="H68" s="249"/>
      <c r="I68" s="250"/>
      <c r="J68" s="250"/>
      <c r="K68" s="253"/>
      <c r="L68" s="271" t="s">
        <v>851</v>
      </c>
      <c r="M68" s="597">
        <v>42605</v>
      </c>
    </row>
    <row r="69" spans="1:13" s="91" customFormat="1" outlineLevel="1" x14ac:dyDescent="0.25">
      <c r="A69" s="260"/>
      <c r="B69" s="351" t="s">
        <v>67</v>
      </c>
      <c r="C69" s="352">
        <v>83460.800000000003</v>
      </c>
      <c r="D69" s="249">
        <f t="shared" si="37"/>
        <v>83460.800000000003</v>
      </c>
      <c r="E69" s="250">
        <f>C69*0.7356</f>
        <v>61393.764480000005</v>
      </c>
      <c r="F69" s="250">
        <f>C69*5%</f>
        <v>4173.04</v>
      </c>
      <c r="G69" s="251">
        <f>C69-E69-F69</f>
        <v>17893.995519999997</v>
      </c>
      <c r="H69" s="249">
        <f>I69+J69+K69</f>
        <v>83460.800000000003</v>
      </c>
      <c r="I69" s="250">
        <v>61393.760000000002</v>
      </c>
      <c r="J69" s="250">
        <v>4173.04</v>
      </c>
      <c r="K69" s="253">
        <v>17894</v>
      </c>
      <c r="L69" s="271" t="s">
        <v>649</v>
      </c>
    </row>
    <row r="70" spans="1:13" s="395" customFormat="1" ht="24" customHeight="1" x14ac:dyDescent="0.2">
      <c r="A70" s="391">
        <v>16</v>
      </c>
      <c r="B70" s="591" t="s">
        <v>84</v>
      </c>
      <c r="C70" s="592">
        <f>SUM(C71:C72)</f>
        <v>3972927.22</v>
      </c>
      <c r="D70" s="288">
        <f>E70+F70+G70</f>
        <v>3972927.22</v>
      </c>
      <c r="E70" s="593">
        <f>SUM(E71:E72)</f>
        <v>3040918.2208720003</v>
      </c>
      <c r="F70" s="593">
        <f>SUM(F71:F72)</f>
        <v>198646.36099999998</v>
      </c>
      <c r="G70" s="291">
        <f>SUM(G71:G72)</f>
        <v>733362.63812799985</v>
      </c>
      <c r="H70" s="288">
        <f>I70+J70+K70</f>
        <v>83483.62000000001</v>
      </c>
      <c r="I70" s="289">
        <f>SUM(I71:I72)</f>
        <v>61410.55</v>
      </c>
      <c r="J70" s="289">
        <f>SUM(J71:J72)</f>
        <v>4174.18</v>
      </c>
      <c r="K70" s="291">
        <f>SUM(K71:K72)</f>
        <v>17898.89</v>
      </c>
      <c r="L70" s="400"/>
    </row>
    <row r="71" spans="1:13" s="91" customFormat="1" outlineLevel="1" x14ac:dyDescent="0.25">
      <c r="A71" s="260"/>
      <c r="B71" s="594" t="s">
        <v>555</v>
      </c>
      <c r="C71" s="352">
        <v>3889443.6</v>
      </c>
      <c r="D71" s="249">
        <f t="shared" si="37"/>
        <v>3889443.6000000006</v>
      </c>
      <c r="E71" s="609">
        <v>2979507.6700000004</v>
      </c>
      <c r="F71" s="609">
        <v>194472.17999999996</v>
      </c>
      <c r="G71" s="253">
        <v>715463.74999999988</v>
      </c>
      <c r="H71" s="249"/>
      <c r="I71" s="250"/>
      <c r="J71" s="250"/>
      <c r="K71" s="253"/>
      <c r="L71" s="271" t="s">
        <v>851</v>
      </c>
      <c r="M71" s="597">
        <v>42605</v>
      </c>
    </row>
    <row r="72" spans="1:13" s="91" customFormat="1" outlineLevel="1" x14ac:dyDescent="0.25">
      <c r="A72" s="260"/>
      <c r="B72" s="351" t="s">
        <v>67</v>
      </c>
      <c r="C72" s="352">
        <v>83483.62</v>
      </c>
      <c r="D72" s="249">
        <f t="shared" ref="D72" si="38">E72+F72+G72</f>
        <v>83483.62</v>
      </c>
      <c r="E72" s="250">
        <f>C72*0.7356</f>
        <v>61410.550872</v>
      </c>
      <c r="F72" s="250">
        <f>C72*5%</f>
        <v>4174.1809999999996</v>
      </c>
      <c r="G72" s="251">
        <f>C72-E72-F72</f>
        <v>17898.888127999995</v>
      </c>
      <c r="H72" s="249">
        <f>I72+J72+K72</f>
        <v>83483.62000000001</v>
      </c>
      <c r="I72" s="250">
        <v>61410.55</v>
      </c>
      <c r="J72" s="250">
        <v>4174.18</v>
      </c>
      <c r="K72" s="253">
        <v>17898.89</v>
      </c>
      <c r="L72" s="271" t="s">
        <v>649</v>
      </c>
    </row>
    <row r="73" spans="1:13" s="395" customFormat="1" ht="25.5" x14ac:dyDescent="0.2">
      <c r="A73" s="391">
        <v>17</v>
      </c>
      <c r="B73" s="591" t="s">
        <v>85</v>
      </c>
      <c r="C73" s="592">
        <f>SUM(C74:C75)</f>
        <v>4097258.04</v>
      </c>
      <c r="D73" s="288">
        <f>E73+F73+G73</f>
        <v>4097258.04</v>
      </c>
      <c r="E73" s="593">
        <f>SUM(E74:E75)</f>
        <v>3136082.2768840003</v>
      </c>
      <c r="F73" s="593">
        <f>SUM(F74:F75)</f>
        <v>204862.89950000003</v>
      </c>
      <c r="G73" s="291">
        <f>SUM(G74:G75)</f>
        <v>756312.86361600005</v>
      </c>
      <c r="H73" s="288">
        <f>I73+J73+K73</f>
        <v>83600.39</v>
      </c>
      <c r="I73" s="289">
        <f>SUM(I74:I75)</f>
        <v>61496.45</v>
      </c>
      <c r="J73" s="289">
        <f>SUM(J74:J75)</f>
        <v>4180.0200000000004</v>
      </c>
      <c r="K73" s="291">
        <f>SUM(K74:K75)</f>
        <v>17923.919999999998</v>
      </c>
      <c r="L73" s="400"/>
    </row>
    <row r="74" spans="1:13" s="91" customFormat="1" outlineLevel="1" x14ac:dyDescent="0.25">
      <c r="A74" s="260"/>
      <c r="B74" s="594" t="s">
        <v>555</v>
      </c>
      <c r="C74" s="352">
        <v>4013657.65</v>
      </c>
      <c r="D74" s="249">
        <f t="shared" ref="D74" si="39">E74+F74+G74</f>
        <v>4013657.65</v>
      </c>
      <c r="E74" s="609">
        <v>3074585.83</v>
      </c>
      <c r="F74" s="609">
        <v>200682.88000000003</v>
      </c>
      <c r="G74" s="253">
        <v>738388.94000000006</v>
      </c>
      <c r="H74" s="249"/>
      <c r="I74" s="250"/>
      <c r="J74" s="250"/>
      <c r="K74" s="253"/>
      <c r="L74" s="271" t="s">
        <v>851</v>
      </c>
      <c r="M74" s="597">
        <v>42605</v>
      </c>
    </row>
    <row r="75" spans="1:13" s="91" customFormat="1" outlineLevel="1" x14ac:dyDescent="0.25">
      <c r="A75" s="260"/>
      <c r="B75" s="351" t="s">
        <v>67</v>
      </c>
      <c r="C75" s="352">
        <v>83600.39</v>
      </c>
      <c r="D75" s="249">
        <f t="shared" ref="D75" si="40">E75+F75+G75</f>
        <v>83600.389999999985</v>
      </c>
      <c r="E75" s="250">
        <f>C75*0.7356</f>
        <v>61496.446884000005</v>
      </c>
      <c r="F75" s="250">
        <f>C75*5%</f>
        <v>4180.0195000000003</v>
      </c>
      <c r="G75" s="251">
        <f>C75-E75-F75</f>
        <v>17923.923615999993</v>
      </c>
      <c r="H75" s="249">
        <f>I75+J75+K75</f>
        <v>83600.39</v>
      </c>
      <c r="I75" s="250">
        <v>61496.45</v>
      </c>
      <c r="J75" s="250">
        <v>4180.0200000000004</v>
      </c>
      <c r="K75" s="253">
        <v>17923.919999999998</v>
      </c>
      <c r="L75" s="271" t="s">
        <v>649</v>
      </c>
    </row>
    <row r="76" spans="1:13" s="9" customFormat="1" ht="27.75" customHeight="1" x14ac:dyDescent="0.2">
      <c r="A76" s="121">
        <v>18</v>
      </c>
      <c r="B76" s="130" t="s">
        <v>88</v>
      </c>
      <c r="C76" s="78">
        <f>SUM(C77:C78)</f>
        <v>85274.29</v>
      </c>
      <c r="D76" s="40">
        <f>E76+F76+G76</f>
        <v>85274.289999999979</v>
      </c>
      <c r="E76" s="117">
        <f>SUM(E77:E78)</f>
        <v>62727.767723999998</v>
      </c>
      <c r="F76" s="81">
        <f>SUM(F77:F78)</f>
        <v>4263.7145</v>
      </c>
      <c r="G76" s="181">
        <f>SUM(G77:G78)</f>
        <v>18282.807775999994</v>
      </c>
      <c r="H76" s="40">
        <f>I76+J76+K76</f>
        <v>85274.29</v>
      </c>
      <c r="I76" s="75">
        <f>SUM(I77:I78)</f>
        <v>62727.77</v>
      </c>
      <c r="J76" s="75">
        <f>SUM(J77:J78)</f>
        <v>4263.71</v>
      </c>
      <c r="K76" s="181">
        <f>SUM(K77:K78)</f>
        <v>18282.810000000001</v>
      </c>
      <c r="L76" s="35"/>
    </row>
    <row r="77" spans="1:13" outlineLevel="1" x14ac:dyDescent="0.25">
      <c r="A77" s="10"/>
      <c r="B77" s="131" t="s">
        <v>555</v>
      </c>
      <c r="C77" s="70"/>
      <c r="D77" s="42"/>
      <c r="E77" s="118"/>
      <c r="F77" s="41"/>
      <c r="G77" s="182"/>
      <c r="H77" s="42"/>
      <c r="I77" s="72"/>
      <c r="J77" s="72"/>
      <c r="K77" s="182"/>
      <c r="L77" s="28"/>
    </row>
    <row r="78" spans="1:13" s="91" customFormat="1" outlineLevel="1" x14ac:dyDescent="0.25">
      <c r="A78" s="260"/>
      <c r="B78" s="351" t="s">
        <v>67</v>
      </c>
      <c r="C78" s="352">
        <v>85274.29</v>
      </c>
      <c r="D78" s="249">
        <f t="shared" ref="D78" si="41">E78+F78+G78</f>
        <v>85274.289999999979</v>
      </c>
      <c r="E78" s="250">
        <f>C78*0.7356</f>
        <v>62727.767723999998</v>
      </c>
      <c r="F78" s="250">
        <f>C78*5%</f>
        <v>4263.7145</v>
      </c>
      <c r="G78" s="251">
        <f>C78-E78-F78</f>
        <v>18282.807775999994</v>
      </c>
      <c r="H78" s="249">
        <f>I78+J78+K78</f>
        <v>85274.29</v>
      </c>
      <c r="I78" s="250">
        <v>62727.77</v>
      </c>
      <c r="J78" s="250">
        <v>4263.71</v>
      </c>
      <c r="K78" s="253">
        <v>18282.810000000001</v>
      </c>
      <c r="L78" s="271" t="s">
        <v>649</v>
      </c>
    </row>
    <row r="79" spans="1:13" s="395" customFormat="1" ht="25.5" customHeight="1" x14ac:dyDescent="0.2">
      <c r="A79" s="391">
        <v>19</v>
      </c>
      <c r="B79" s="591" t="s">
        <v>51</v>
      </c>
      <c r="C79" s="592">
        <f>SUM(C80:C84)</f>
        <v>10910742.23</v>
      </c>
      <c r="D79" s="288">
        <f>E79+F79+G79</f>
        <v>10910742.23</v>
      </c>
      <c r="E79" s="593">
        <f>SUM(E80:E84)</f>
        <v>9038240.6499274001</v>
      </c>
      <c r="F79" s="593">
        <f>SUM(F80:F84)</f>
        <v>545537.1115</v>
      </c>
      <c r="G79" s="291">
        <f>SUM(G80:G84)</f>
        <v>1326964.4685726</v>
      </c>
      <c r="H79" s="288">
        <f>I79+J79+K79</f>
        <v>10910742.23</v>
      </c>
      <c r="I79" s="289">
        <f>SUM(I80:I84)</f>
        <v>9038240.6500000004</v>
      </c>
      <c r="J79" s="289">
        <f>SUM(J80:J84)</f>
        <v>545537.11</v>
      </c>
      <c r="K79" s="291">
        <f>SUM(K80:K84)</f>
        <v>1326964.47</v>
      </c>
      <c r="L79" s="400"/>
    </row>
    <row r="80" spans="1:13" s="91" customFormat="1" outlineLevel="1" x14ac:dyDescent="0.25">
      <c r="A80" s="260"/>
      <c r="B80" s="594" t="s">
        <v>68</v>
      </c>
      <c r="C80" s="352">
        <v>1531395.36</v>
      </c>
      <c r="D80" s="249">
        <f t="shared" ref="D80:D82" si="42">E80+F80+G80</f>
        <v>1531395.36</v>
      </c>
      <c r="E80" s="609">
        <v>1272225.834158231</v>
      </c>
      <c r="F80" s="609">
        <v>76569.768000000011</v>
      </c>
      <c r="G80" s="253">
        <v>182599.75784176914</v>
      </c>
      <c r="H80" s="249">
        <f t="shared" ref="H80:H83" si="43">I80+J80+K80</f>
        <v>1531395.36</v>
      </c>
      <c r="I80" s="250">
        <v>1272225.83</v>
      </c>
      <c r="J80" s="250">
        <v>76569.77</v>
      </c>
      <c r="K80" s="253">
        <v>182599.76</v>
      </c>
      <c r="L80" s="271" t="s">
        <v>776</v>
      </c>
      <c r="M80" s="597">
        <v>42584</v>
      </c>
    </row>
    <row r="81" spans="1:13" s="91" customFormat="1" outlineLevel="1" x14ac:dyDescent="0.25">
      <c r="A81" s="260"/>
      <c r="B81" s="594" t="s">
        <v>64</v>
      </c>
      <c r="C81" s="352">
        <v>7052356.3899999997</v>
      </c>
      <c r="D81" s="249">
        <f t="shared" si="42"/>
        <v>7052356.3900000006</v>
      </c>
      <c r="E81" s="609">
        <v>5858833.2088513579</v>
      </c>
      <c r="F81" s="609">
        <v>352617.81949999998</v>
      </c>
      <c r="G81" s="253">
        <v>840905.36164864246</v>
      </c>
      <c r="H81" s="249">
        <f t="shared" si="43"/>
        <v>7052356.3900000006</v>
      </c>
      <c r="I81" s="250">
        <v>5858833.21</v>
      </c>
      <c r="J81" s="250">
        <v>352617.82</v>
      </c>
      <c r="K81" s="253">
        <v>840905.36</v>
      </c>
      <c r="L81" s="271" t="s">
        <v>776</v>
      </c>
      <c r="M81" s="597">
        <v>42584</v>
      </c>
    </row>
    <row r="82" spans="1:13" s="91" customFormat="1" outlineLevel="1" x14ac:dyDescent="0.25">
      <c r="A82" s="260"/>
      <c r="B82" s="594" t="s">
        <v>65</v>
      </c>
      <c r="C82" s="352">
        <v>1058918.49</v>
      </c>
      <c r="D82" s="249">
        <f t="shared" si="42"/>
        <v>1058918.49</v>
      </c>
      <c r="E82" s="609">
        <v>879709.7695567162</v>
      </c>
      <c r="F82" s="609">
        <v>52945.924500000001</v>
      </c>
      <c r="G82" s="253">
        <v>126262.79594328393</v>
      </c>
      <c r="H82" s="249">
        <f t="shared" si="43"/>
        <v>1058918.49</v>
      </c>
      <c r="I82" s="250">
        <v>879709.77</v>
      </c>
      <c r="J82" s="250">
        <v>52945.919999999998</v>
      </c>
      <c r="K82" s="253">
        <v>126262.8</v>
      </c>
      <c r="L82" s="271" t="s">
        <v>776</v>
      </c>
      <c r="M82" s="597">
        <v>42584</v>
      </c>
    </row>
    <row r="83" spans="1:13" s="91" customFormat="1" outlineLevel="1" x14ac:dyDescent="0.25">
      <c r="A83" s="260"/>
      <c r="B83" s="594" t="s">
        <v>66</v>
      </c>
      <c r="C83" s="352">
        <v>994909.59000000008</v>
      </c>
      <c r="D83" s="249">
        <f>E83+F83+G83</f>
        <v>994909.59000000008</v>
      </c>
      <c r="E83" s="609">
        <v>826533.57592109567</v>
      </c>
      <c r="F83" s="609">
        <v>49745.479500000001</v>
      </c>
      <c r="G83" s="253">
        <v>118630.53457890444</v>
      </c>
      <c r="H83" s="249">
        <f t="shared" si="43"/>
        <v>994909.59</v>
      </c>
      <c r="I83" s="250">
        <v>826533.58</v>
      </c>
      <c r="J83" s="250">
        <v>49745.48</v>
      </c>
      <c r="K83" s="253">
        <v>118630.53</v>
      </c>
      <c r="L83" s="271" t="s">
        <v>776</v>
      </c>
      <c r="M83" s="597">
        <v>42584</v>
      </c>
    </row>
    <row r="84" spans="1:13" s="91" customFormat="1" outlineLevel="1" x14ac:dyDescent="0.25">
      <c r="A84" s="260"/>
      <c r="B84" s="351" t="s">
        <v>67</v>
      </c>
      <c r="C84" s="352">
        <v>273162.40000000002</v>
      </c>
      <c r="D84" s="249">
        <f t="shared" ref="D84" si="44">E84+F84+G84</f>
        <v>273162.40000000002</v>
      </c>
      <c r="E84" s="250">
        <f>C84*0.7356</f>
        <v>200938.26144000003</v>
      </c>
      <c r="F84" s="250">
        <f>C84*5%</f>
        <v>13658.120000000003</v>
      </c>
      <c r="G84" s="251">
        <f>C84-E84-F84</f>
        <v>58566.01855999999</v>
      </c>
      <c r="H84" s="249">
        <f>I84+J84+K84</f>
        <v>273162.40000000002</v>
      </c>
      <c r="I84" s="250">
        <v>200938.26</v>
      </c>
      <c r="J84" s="250">
        <f>13658.12</f>
        <v>13658.12</v>
      </c>
      <c r="K84" s="253">
        <v>58566.02</v>
      </c>
      <c r="L84" s="271" t="s">
        <v>642</v>
      </c>
    </row>
    <row r="85" spans="1:13" s="395" customFormat="1" ht="25.5" customHeight="1" x14ac:dyDescent="0.2">
      <c r="A85" s="391">
        <v>20</v>
      </c>
      <c r="B85" s="591" t="s">
        <v>775</v>
      </c>
      <c r="C85" s="592">
        <f>SUM(C86:C89)</f>
        <v>6084629.8399999999</v>
      </c>
      <c r="D85" s="288">
        <f>E85+F85+G85</f>
        <v>6084629.8399999999</v>
      </c>
      <c r="E85" s="593">
        <f>SUM(E86:E89)</f>
        <v>5040385.6668592002</v>
      </c>
      <c r="F85" s="593">
        <f>SUM(F86:F89)</f>
        <v>304231.49200000003</v>
      </c>
      <c r="G85" s="291">
        <f>SUM(G86:G89)</f>
        <v>740012.68114079954</v>
      </c>
      <c r="H85" s="288">
        <f>I85+J85+K85</f>
        <v>6084629.8400000008</v>
      </c>
      <c r="I85" s="289">
        <f>SUM(I86:I89)</f>
        <v>5040385.6700000009</v>
      </c>
      <c r="J85" s="289">
        <f>SUM(J86:J89)</f>
        <v>304231.49</v>
      </c>
      <c r="K85" s="291">
        <f>SUM(K86:K89)</f>
        <v>740012.67999999993</v>
      </c>
      <c r="L85" s="400"/>
    </row>
    <row r="86" spans="1:13" s="91" customFormat="1" outlineLevel="1" x14ac:dyDescent="0.25">
      <c r="A86" s="260"/>
      <c r="B86" s="594" t="s">
        <v>68</v>
      </c>
      <c r="C86" s="352">
        <v>909475.61</v>
      </c>
      <c r="D86" s="249">
        <f t="shared" ref="D86:D88" si="45">E86+F86+G86</f>
        <v>909475.61</v>
      </c>
      <c r="E86" s="609">
        <v>753391.40581180004</v>
      </c>
      <c r="F86" s="609">
        <v>45473.780500000001</v>
      </c>
      <c r="G86" s="253">
        <v>110610.42368819992</v>
      </c>
      <c r="H86" s="249">
        <f t="shared" ref="H86:H88" si="46">I86+J86+K86</f>
        <v>909475.6100000001</v>
      </c>
      <c r="I86" s="250">
        <v>753391.41</v>
      </c>
      <c r="J86" s="250">
        <v>45473.78</v>
      </c>
      <c r="K86" s="253">
        <v>110610.42</v>
      </c>
      <c r="L86" s="271" t="s">
        <v>776</v>
      </c>
      <c r="M86" s="597">
        <v>42584</v>
      </c>
    </row>
    <row r="87" spans="1:13" s="91" customFormat="1" outlineLevel="1" x14ac:dyDescent="0.25">
      <c r="A87" s="260"/>
      <c r="B87" s="594" t="s">
        <v>64</v>
      </c>
      <c r="C87" s="352">
        <v>4112612.45</v>
      </c>
      <c r="D87" s="249">
        <f t="shared" si="45"/>
        <v>4112612.4499999997</v>
      </c>
      <c r="E87" s="609">
        <v>3406805.901331</v>
      </c>
      <c r="F87" s="609">
        <v>205630.62250000003</v>
      </c>
      <c r="G87" s="253">
        <v>500175.92616899969</v>
      </c>
      <c r="H87" s="249">
        <f t="shared" si="46"/>
        <v>4112612.45</v>
      </c>
      <c r="I87" s="250">
        <v>3406805.9</v>
      </c>
      <c r="J87" s="250">
        <v>205630.62</v>
      </c>
      <c r="K87" s="253">
        <v>500175.93</v>
      </c>
      <c r="L87" s="271" t="s">
        <v>776</v>
      </c>
      <c r="M87" s="597">
        <v>42584</v>
      </c>
    </row>
    <row r="88" spans="1:13" s="91" customFormat="1" outlineLevel="1" x14ac:dyDescent="0.25">
      <c r="A88" s="260"/>
      <c r="B88" s="594" t="s">
        <v>65</v>
      </c>
      <c r="C88" s="352">
        <v>628199.01</v>
      </c>
      <c r="D88" s="249">
        <f t="shared" si="45"/>
        <v>628199.01</v>
      </c>
      <c r="E88" s="609">
        <v>520387.49590380001</v>
      </c>
      <c r="F88" s="609">
        <v>31409.950500000003</v>
      </c>
      <c r="G88" s="253">
        <v>76401.563596199951</v>
      </c>
      <c r="H88" s="249">
        <f t="shared" si="46"/>
        <v>628199.01</v>
      </c>
      <c r="I88" s="250">
        <v>520387.5</v>
      </c>
      <c r="J88" s="250">
        <v>31409.95</v>
      </c>
      <c r="K88" s="253">
        <v>76401.56</v>
      </c>
      <c r="L88" s="271" t="s">
        <v>776</v>
      </c>
      <c r="M88" s="597">
        <v>42584</v>
      </c>
    </row>
    <row r="89" spans="1:13" s="91" customFormat="1" outlineLevel="1" x14ac:dyDescent="0.25">
      <c r="A89" s="260"/>
      <c r="B89" s="594" t="s">
        <v>66</v>
      </c>
      <c r="C89" s="352">
        <v>434342.77</v>
      </c>
      <c r="D89" s="249">
        <f>E89+F89+G89</f>
        <v>434342.77</v>
      </c>
      <c r="E89" s="609">
        <v>359800.86381260003</v>
      </c>
      <c r="F89" s="609">
        <v>21717.138500000001</v>
      </c>
      <c r="G89" s="253">
        <v>52824.767687399966</v>
      </c>
      <c r="H89" s="249">
        <f>I89+J89+K89</f>
        <v>434342.77</v>
      </c>
      <c r="I89" s="91">
        <v>359800.86</v>
      </c>
      <c r="J89" s="250">
        <v>21717.14</v>
      </c>
      <c r="K89" s="253">
        <v>52824.77</v>
      </c>
      <c r="L89" s="271" t="s">
        <v>776</v>
      </c>
      <c r="M89" s="597">
        <v>42584</v>
      </c>
    </row>
    <row r="90" spans="1:13" s="9" customFormat="1" ht="32.25" customHeight="1" x14ac:dyDescent="0.2">
      <c r="A90" s="121">
        <v>21</v>
      </c>
      <c r="B90" s="130" t="s">
        <v>52</v>
      </c>
      <c r="C90" s="78">
        <f>SUM(C91:C95)</f>
        <v>196832.89</v>
      </c>
      <c r="D90" s="40">
        <f>E90+F90+G90</f>
        <v>196832.89</v>
      </c>
      <c r="E90" s="117">
        <f>SUM(E91:E95)</f>
        <v>144790.27388400002</v>
      </c>
      <c r="F90" s="81">
        <f>SUM(F91:F95)</f>
        <v>9841.6445000000022</v>
      </c>
      <c r="G90" s="181">
        <f>SUM(G91:G95)</f>
        <v>42200.971615999988</v>
      </c>
      <c r="H90" s="40">
        <f>I90+J90+K90</f>
        <v>196832.88999999998</v>
      </c>
      <c r="I90" s="75">
        <f>SUM(I91:I95)</f>
        <v>144790.28</v>
      </c>
      <c r="J90" s="75">
        <f>SUM(J91:J95)</f>
        <v>9841.64</v>
      </c>
      <c r="K90" s="181">
        <f>SUM(K91:K95)</f>
        <v>42200.97</v>
      </c>
      <c r="L90" s="35"/>
    </row>
    <row r="91" spans="1:13" outlineLevel="1" x14ac:dyDescent="0.25">
      <c r="A91" s="10"/>
      <c r="B91" s="131" t="s">
        <v>68</v>
      </c>
      <c r="C91" s="70"/>
      <c r="D91" s="42"/>
      <c r="E91" s="118"/>
      <c r="F91" s="41"/>
      <c r="G91" s="182"/>
      <c r="H91" s="42"/>
      <c r="I91" s="72"/>
      <c r="J91" s="72"/>
      <c r="K91" s="182"/>
      <c r="L91" s="28"/>
    </row>
    <row r="92" spans="1:13" outlineLevel="1" x14ac:dyDescent="0.25">
      <c r="A92" s="10"/>
      <c r="B92" s="131" t="s">
        <v>64</v>
      </c>
      <c r="C92" s="70"/>
      <c r="D92" s="42"/>
      <c r="E92" s="118"/>
      <c r="F92" s="41"/>
      <c r="G92" s="182"/>
      <c r="H92" s="42"/>
      <c r="I92" s="72"/>
      <c r="J92" s="72"/>
      <c r="K92" s="182"/>
      <c r="L92" s="28"/>
    </row>
    <row r="93" spans="1:13" outlineLevel="1" x14ac:dyDescent="0.25">
      <c r="A93" s="10"/>
      <c r="B93" s="131" t="s">
        <v>65</v>
      </c>
      <c r="C93" s="70"/>
      <c r="D93" s="42"/>
      <c r="E93" s="118"/>
      <c r="F93" s="41"/>
      <c r="G93" s="182"/>
      <c r="H93" s="42"/>
      <c r="I93" s="72"/>
      <c r="J93" s="72"/>
      <c r="K93" s="182"/>
      <c r="L93" s="28"/>
    </row>
    <row r="94" spans="1:13" outlineLevel="1" x14ac:dyDescent="0.25">
      <c r="A94" s="10"/>
      <c r="B94" s="131" t="s">
        <v>66</v>
      </c>
      <c r="C94" s="70"/>
      <c r="D94" s="42"/>
      <c r="E94" s="118"/>
      <c r="F94" s="41"/>
      <c r="G94" s="182"/>
      <c r="H94" s="42"/>
      <c r="J94" s="72"/>
      <c r="K94" s="182"/>
      <c r="L94" s="28"/>
    </row>
    <row r="95" spans="1:13" s="91" customFormat="1" outlineLevel="1" x14ac:dyDescent="0.25">
      <c r="A95" s="260"/>
      <c r="B95" s="351" t="s">
        <v>67</v>
      </c>
      <c r="C95" s="352">
        <v>196832.89</v>
      </c>
      <c r="D95" s="249">
        <f t="shared" ref="D95" si="47">E95+F95+G95</f>
        <v>196832.89</v>
      </c>
      <c r="E95" s="250">
        <f>C95*0.7356</f>
        <v>144790.27388400002</v>
      </c>
      <c r="F95" s="250">
        <f>C95*5%</f>
        <v>9841.6445000000022</v>
      </c>
      <c r="G95" s="251">
        <f>C95-E95-F95</f>
        <v>42200.971615999988</v>
      </c>
      <c r="H95" s="249">
        <f>I95+J95+K95</f>
        <v>196832.88999999998</v>
      </c>
      <c r="I95" s="250">
        <v>144790.28</v>
      </c>
      <c r="J95" s="250">
        <f>9841.64</f>
        <v>9841.64</v>
      </c>
      <c r="K95" s="253">
        <v>42200.97</v>
      </c>
      <c r="L95" s="271" t="s">
        <v>642</v>
      </c>
    </row>
    <row r="96" spans="1:13" s="9" customFormat="1" ht="24" customHeight="1" x14ac:dyDescent="0.2">
      <c r="A96" s="121">
        <v>22</v>
      </c>
      <c r="B96" s="132" t="s">
        <v>89</v>
      </c>
      <c r="C96" s="78">
        <f>SUM(C97:C98)</f>
        <v>77016.13</v>
      </c>
      <c r="D96" s="40">
        <f>E96+F96+G96</f>
        <v>77016.13</v>
      </c>
      <c r="E96" s="117">
        <f>SUM(E97:E98)</f>
        <v>56653.065228000007</v>
      </c>
      <c r="F96" s="81">
        <f>SUM(F97:F98)</f>
        <v>3850.8065000000006</v>
      </c>
      <c r="G96" s="181">
        <f>SUM(G97:G98)</f>
        <v>16512.258271999999</v>
      </c>
      <c r="H96" s="40">
        <f>I96+J96+K96</f>
        <v>77016.12999999999</v>
      </c>
      <c r="I96" s="75">
        <f>SUM(I97:I98)</f>
        <v>56653.06</v>
      </c>
      <c r="J96" s="75">
        <f>SUM(J97:J98)</f>
        <v>3850.81</v>
      </c>
      <c r="K96" s="181">
        <f>SUM(K97:K98)</f>
        <v>16512.259999999998</v>
      </c>
      <c r="L96" s="35"/>
    </row>
    <row r="97" spans="1:12" outlineLevel="1" x14ac:dyDescent="0.25">
      <c r="A97" s="10"/>
      <c r="B97" s="133" t="s">
        <v>555</v>
      </c>
      <c r="C97" s="70"/>
      <c r="D97" s="42"/>
      <c r="E97" s="118"/>
      <c r="F97" s="41"/>
      <c r="G97" s="182"/>
      <c r="H97" s="42"/>
      <c r="I97" s="72"/>
      <c r="J97" s="72"/>
      <c r="K97" s="182"/>
      <c r="L97" s="28"/>
    </row>
    <row r="98" spans="1:12" s="91" customFormat="1" outlineLevel="1" x14ac:dyDescent="0.25">
      <c r="A98" s="260"/>
      <c r="B98" s="351" t="s">
        <v>67</v>
      </c>
      <c r="C98" s="352">
        <v>77016.13</v>
      </c>
      <c r="D98" s="249">
        <f t="shared" ref="D98" si="48">E98+F98+G98</f>
        <v>77016.13</v>
      </c>
      <c r="E98" s="250">
        <f>C98*0.7356</f>
        <v>56653.065228000007</v>
      </c>
      <c r="F98" s="250">
        <f>C98*5%</f>
        <v>3850.8065000000006</v>
      </c>
      <c r="G98" s="251">
        <f>C98-E98-F98</f>
        <v>16512.258271999999</v>
      </c>
      <c r="H98" s="249">
        <f>I98+J98+K98</f>
        <v>77016.12999999999</v>
      </c>
      <c r="I98" s="250">
        <v>56653.06</v>
      </c>
      <c r="J98" s="250">
        <v>3850.81</v>
      </c>
      <c r="K98" s="253">
        <v>16512.259999999998</v>
      </c>
      <c r="L98" s="271" t="s">
        <v>649</v>
      </c>
    </row>
    <row r="99" spans="1:12" s="9" customFormat="1" ht="30" customHeight="1" x14ac:dyDescent="0.2">
      <c r="A99" s="121">
        <v>23</v>
      </c>
      <c r="B99" s="132" t="s">
        <v>90</v>
      </c>
      <c r="C99" s="78">
        <f>SUM(C100:C101)</f>
        <v>93004.21</v>
      </c>
      <c r="D99" s="40">
        <f>E99+F99+G99</f>
        <v>93004.21</v>
      </c>
      <c r="E99" s="117">
        <f>SUM(E100:E101)</f>
        <v>68413.896876000013</v>
      </c>
      <c r="F99" s="81">
        <f>SUM(F100:F101)</f>
        <v>4650.2105000000001</v>
      </c>
      <c r="G99" s="181">
        <f>SUM(G100:G101)</f>
        <v>19940.102623999992</v>
      </c>
      <c r="H99" s="40">
        <f>I99+J99+K99</f>
        <v>93004.209999999992</v>
      </c>
      <c r="I99" s="75">
        <f>SUM(I100:I101)</f>
        <v>68413.899999999994</v>
      </c>
      <c r="J99" s="75">
        <f>SUM(J100:J101)</f>
        <v>4650.21</v>
      </c>
      <c r="K99" s="181">
        <f>SUM(K100:K101)</f>
        <v>19940.099999999999</v>
      </c>
      <c r="L99" s="35"/>
    </row>
    <row r="100" spans="1:12" outlineLevel="1" x14ac:dyDescent="0.25">
      <c r="A100" s="10"/>
      <c r="B100" s="133" t="s">
        <v>555</v>
      </c>
      <c r="C100" s="70"/>
      <c r="D100" s="42"/>
      <c r="E100" s="118"/>
      <c r="F100" s="41"/>
      <c r="G100" s="182"/>
      <c r="H100" s="42"/>
      <c r="I100" s="72"/>
      <c r="J100" s="72"/>
      <c r="K100" s="182"/>
      <c r="L100" s="28"/>
    </row>
    <row r="101" spans="1:12" s="91" customFormat="1" outlineLevel="1" x14ac:dyDescent="0.25">
      <c r="A101" s="260"/>
      <c r="B101" s="351" t="s">
        <v>67</v>
      </c>
      <c r="C101" s="352">
        <v>93004.21</v>
      </c>
      <c r="D101" s="249">
        <f t="shared" ref="D101" si="49">E101+F101+G101</f>
        <v>93004.21</v>
      </c>
      <c r="E101" s="250">
        <f>C101*0.7356</f>
        <v>68413.896876000013</v>
      </c>
      <c r="F101" s="250">
        <f>C101*5%</f>
        <v>4650.2105000000001</v>
      </c>
      <c r="G101" s="251">
        <f>C101-E101-F101</f>
        <v>19940.102623999992</v>
      </c>
      <c r="H101" s="249">
        <f>I101+J101+K101</f>
        <v>93004.209999999992</v>
      </c>
      <c r="I101" s="250">
        <v>68413.899999999994</v>
      </c>
      <c r="J101" s="250">
        <v>4650.21</v>
      </c>
      <c r="K101" s="253">
        <v>19940.099999999999</v>
      </c>
      <c r="L101" s="271" t="s">
        <v>649</v>
      </c>
    </row>
    <row r="102" spans="1:12" s="9" customFormat="1" ht="29.25" customHeight="1" x14ac:dyDescent="0.2">
      <c r="A102" s="121">
        <v>24</v>
      </c>
      <c r="B102" s="132" t="s">
        <v>80</v>
      </c>
      <c r="C102" s="78">
        <f>SUM(C103:C107)</f>
        <v>172570.62</v>
      </c>
      <c r="D102" s="40">
        <f>E102+F102+G102</f>
        <v>172570.62</v>
      </c>
      <c r="E102" s="117">
        <f>SUM(E103:E107)</f>
        <v>126942.948072</v>
      </c>
      <c r="F102" s="81">
        <f>SUM(F103:F107)</f>
        <v>8628.5310000000009</v>
      </c>
      <c r="G102" s="181">
        <f>SUM(G103:G107)</f>
        <v>36999.140927999993</v>
      </c>
      <c r="H102" s="40">
        <f>I102+J102+K102</f>
        <v>172570.62</v>
      </c>
      <c r="I102" s="75">
        <f>SUM(I103:I107)</f>
        <v>126942.95</v>
      </c>
      <c r="J102" s="75">
        <f>SUM(J103:J107)</f>
        <v>8628.5300000000007</v>
      </c>
      <c r="K102" s="181">
        <f>SUM(K103:K107)</f>
        <v>36999.14</v>
      </c>
      <c r="L102" s="35"/>
    </row>
    <row r="103" spans="1:12" outlineLevel="1" x14ac:dyDescent="0.25">
      <c r="A103" s="10"/>
      <c r="B103" s="131" t="s">
        <v>68</v>
      </c>
      <c r="C103" s="70"/>
      <c r="D103" s="42"/>
      <c r="E103" s="118"/>
      <c r="F103" s="41"/>
      <c r="G103" s="182"/>
      <c r="H103" s="42"/>
      <c r="I103" s="72"/>
      <c r="J103" s="72"/>
      <c r="K103" s="182"/>
      <c r="L103" s="28"/>
    </row>
    <row r="104" spans="1:12" outlineLevel="1" x14ac:dyDescent="0.25">
      <c r="A104" s="10"/>
      <c r="B104" s="131" t="s">
        <v>64</v>
      </c>
      <c r="C104" s="70"/>
      <c r="D104" s="42"/>
      <c r="E104" s="118"/>
      <c r="F104" s="41"/>
      <c r="G104" s="182"/>
      <c r="H104" s="42"/>
      <c r="I104" s="72"/>
      <c r="J104" s="72"/>
      <c r="K104" s="182"/>
      <c r="L104" s="28"/>
    </row>
    <row r="105" spans="1:12" outlineLevel="1" x14ac:dyDescent="0.25">
      <c r="A105" s="10"/>
      <c r="B105" s="131" t="s">
        <v>65</v>
      </c>
      <c r="C105" s="70"/>
      <c r="D105" s="42"/>
      <c r="E105" s="118"/>
      <c r="F105" s="41"/>
      <c r="G105" s="182"/>
      <c r="H105" s="42"/>
      <c r="I105" s="72"/>
      <c r="J105" s="72"/>
      <c r="K105" s="182"/>
      <c r="L105" s="28"/>
    </row>
    <row r="106" spans="1:12" outlineLevel="1" x14ac:dyDescent="0.25">
      <c r="A106" s="10"/>
      <c r="B106" s="131" t="s">
        <v>66</v>
      </c>
      <c r="C106" s="70"/>
      <c r="D106" s="42"/>
      <c r="E106" s="118"/>
      <c r="F106" s="41"/>
      <c r="G106" s="182"/>
      <c r="H106" s="42"/>
      <c r="I106" s="72"/>
      <c r="J106" s="72"/>
      <c r="K106" s="182"/>
      <c r="L106" s="28"/>
    </row>
    <row r="107" spans="1:12" s="91" customFormat="1" outlineLevel="1" x14ac:dyDescent="0.25">
      <c r="A107" s="260"/>
      <c r="B107" s="351" t="s">
        <v>67</v>
      </c>
      <c r="C107" s="352">
        <v>172570.62</v>
      </c>
      <c r="D107" s="249">
        <f t="shared" ref="D107" si="50">E107+F107+G107</f>
        <v>172570.62</v>
      </c>
      <c r="E107" s="250">
        <f>C107*0.7356</f>
        <v>126942.948072</v>
      </c>
      <c r="F107" s="250">
        <f>C107*5%</f>
        <v>8628.5310000000009</v>
      </c>
      <c r="G107" s="251">
        <f>C107-E107-F107</f>
        <v>36999.140927999993</v>
      </c>
      <c r="H107" s="249">
        <f>I107+J107+K107</f>
        <v>172570.62</v>
      </c>
      <c r="I107" s="250">
        <v>126942.95</v>
      </c>
      <c r="J107" s="250">
        <f>8628.53</f>
        <v>8628.5300000000007</v>
      </c>
      <c r="K107" s="253">
        <v>36999.14</v>
      </c>
      <c r="L107" s="271" t="s">
        <v>642</v>
      </c>
    </row>
    <row r="108" spans="1:12" s="9" customFormat="1" ht="30" customHeight="1" x14ac:dyDescent="0.2">
      <c r="A108" s="121">
        <v>25</v>
      </c>
      <c r="B108" s="132" t="s">
        <v>53</v>
      </c>
      <c r="C108" s="78">
        <f>SUM(C109:C113)</f>
        <v>171099.63</v>
      </c>
      <c r="D108" s="40">
        <f>E108+F108+G108</f>
        <v>171099.63</v>
      </c>
      <c r="E108" s="117">
        <f>SUM(E109:E113)</f>
        <v>125860.88782800001</v>
      </c>
      <c r="F108" s="81">
        <f>SUM(F109:F113)</f>
        <v>8554.9814999999999</v>
      </c>
      <c r="G108" s="181">
        <f>SUM(G109:G113)</f>
        <v>36683.760671999997</v>
      </c>
      <c r="H108" s="40">
        <f>I108+J108+K108</f>
        <v>171099.63</v>
      </c>
      <c r="I108" s="75">
        <f>SUM(I109:I113)</f>
        <v>125860.89</v>
      </c>
      <c r="J108" s="75">
        <f>SUM(J109:J113)</f>
        <v>8554.98</v>
      </c>
      <c r="K108" s="181">
        <f>SUM(K109:K113)</f>
        <v>36683.760000000002</v>
      </c>
      <c r="L108" s="35"/>
    </row>
    <row r="109" spans="1:12" outlineLevel="1" x14ac:dyDescent="0.25">
      <c r="A109" s="10"/>
      <c r="B109" s="131" t="s">
        <v>68</v>
      </c>
      <c r="C109" s="70"/>
      <c r="D109" s="42"/>
      <c r="E109" s="118"/>
      <c r="F109" s="41"/>
      <c r="G109" s="182"/>
      <c r="H109" s="42"/>
      <c r="I109" s="72"/>
      <c r="J109" s="72"/>
      <c r="K109" s="182"/>
      <c r="L109" s="28"/>
    </row>
    <row r="110" spans="1:12" outlineLevel="1" x14ac:dyDescent="0.25">
      <c r="A110" s="10"/>
      <c r="B110" s="131" t="s">
        <v>64</v>
      </c>
      <c r="C110" s="70"/>
      <c r="D110" s="42"/>
      <c r="E110" s="118"/>
      <c r="F110" s="41"/>
      <c r="G110" s="182"/>
      <c r="H110" s="42"/>
      <c r="I110" s="72"/>
      <c r="J110" s="72"/>
      <c r="K110" s="182"/>
      <c r="L110" s="28"/>
    </row>
    <row r="111" spans="1:12" outlineLevel="1" x14ac:dyDescent="0.25">
      <c r="A111" s="10"/>
      <c r="B111" s="131" t="s">
        <v>65</v>
      </c>
      <c r="C111" s="70"/>
      <c r="D111" s="42"/>
      <c r="E111" s="118"/>
      <c r="F111" s="41"/>
      <c r="G111" s="182"/>
      <c r="H111" s="42"/>
      <c r="I111" s="72"/>
      <c r="J111" s="72"/>
      <c r="K111" s="182"/>
      <c r="L111" s="28"/>
    </row>
    <row r="112" spans="1:12" outlineLevel="1" x14ac:dyDescent="0.25">
      <c r="A112" s="10"/>
      <c r="B112" s="131" t="s">
        <v>66</v>
      </c>
      <c r="C112" s="70"/>
      <c r="D112" s="42"/>
      <c r="E112" s="118"/>
      <c r="F112" s="41"/>
      <c r="G112" s="182"/>
      <c r="H112" s="42"/>
      <c r="I112" s="72"/>
      <c r="J112" s="72"/>
      <c r="K112" s="182"/>
      <c r="L112" s="28"/>
    </row>
    <row r="113" spans="1:12" s="91" customFormat="1" outlineLevel="1" x14ac:dyDescent="0.25">
      <c r="A113" s="260"/>
      <c r="B113" s="351" t="s">
        <v>67</v>
      </c>
      <c r="C113" s="352">
        <v>171099.63</v>
      </c>
      <c r="D113" s="249">
        <f t="shared" ref="D113" si="51">E113+F113+G113</f>
        <v>171099.63</v>
      </c>
      <c r="E113" s="250">
        <f>C113*0.7356</f>
        <v>125860.88782800001</v>
      </c>
      <c r="F113" s="250">
        <f>C113*5%</f>
        <v>8554.9814999999999</v>
      </c>
      <c r="G113" s="251">
        <f>C113-E113-F113</f>
        <v>36683.760671999997</v>
      </c>
      <c r="H113" s="249">
        <f>I113+J113+K113</f>
        <v>171099.63</v>
      </c>
      <c r="I113" s="250">
        <v>125860.89</v>
      </c>
      <c r="J113" s="250">
        <f>8554.98</f>
        <v>8554.98</v>
      </c>
      <c r="K113" s="253">
        <v>36683.760000000002</v>
      </c>
      <c r="L113" s="271" t="s">
        <v>642</v>
      </c>
    </row>
    <row r="114" spans="1:12" s="9" customFormat="1" ht="27" customHeight="1" x14ac:dyDescent="0.2">
      <c r="A114" s="121">
        <v>26</v>
      </c>
      <c r="B114" s="130" t="s">
        <v>81</v>
      </c>
      <c r="C114" s="78">
        <f>SUM(C115:C119)</f>
        <v>170851.92</v>
      </c>
      <c r="D114" s="40">
        <f>E114+F114+G114</f>
        <v>170851.92</v>
      </c>
      <c r="E114" s="117">
        <f>SUM(E115:E119)</f>
        <v>125678.67235200001</v>
      </c>
      <c r="F114" s="81">
        <f>SUM(F115:F119)</f>
        <v>8542.5960000000014</v>
      </c>
      <c r="G114" s="181">
        <f>SUM(G115:G119)</f>
        <v>36630.651647999999</v>
      </c>
      <c r="H114" s="40">
        <f>I114+J114+K114</f>
        <v>170851.91999999998</v>
      </c>
      <c r="I114" s="75">
        <f>SUM(I115:I119)</f>
        <v>125678.67</v>
      </c>
      <c r="J114" s="75">
        <f>SUM(J115:J119)</f>
        <v>8542.6</v>
      </c>
      <c r="K114" s="181">
        <f>SUM(K115:K119)</f>
        <v>36630.65</v>
      </c>
      <c r="L114" s="35"/>
    </row>
    <row r="115" spans="1:12" outlineLevel="1" x14ac:dyDescent="0.25">
      <c r="A115" s="10"/>
      <c r="B115" s="131" t="s">
        <v>68</v>
      </c>
      <c r="C115" s="70"/>
      <c r="D115" s="42"/>
      <c r="E115" s="118"/>
      <c r="F115" s="41"/>
      <c r="G115" s="182"/>
      <c r="H115" s="42"/>
      <c r="I115" s="72"/>
      <c r="J115" s="72"/>
      <c r="K115" s="182"/>
      <c r="L115" s="28"/>
    </row>
    <row r="116" spans="1:12" outlineLevel="1" x14ac:dyDescent="0.25">
      <c r="A116" s="10"/>
      <c r="B116" s="131" t="s">
        <v>64</v>
      </c>
      <c r="C116" s="70"/>
      <c r="D116" s="42"/>
      <c r="E116" s="118"/>
      <c r="F116" s="41"/>
      <c r="G116" s="182"/>
      <c r="H116" s="42"/>
      <c r="I116" s="72"/>
      <c r="J116" s="72"/>
      <c r="K116" s="182"/>
      <c r="L116" s="28"/>
    </row>
    <row r="117" spans="1:12" outlineLevel="1" x14ac:dyDescent="0.25">
      <c r="A117" s="10"/>
      <c r="B117" s="131" t="s">
        <v>65</v>
      </c>
      <c r="C117" s="70"/>
      <c r="D117" s="42"/>
      <c r="E117" s="118"/>
      <c r="F117" s="41"/>
      <c r="G117" s="182"/>
      <c r="H117" s="42"/>
      <c r="I117" s="72"/>
      <c r="J117" s="72"/>
      <c r="K117" s="182"/>
      <c r="L117" s="28"/>
    </row>
    <row r="118" spans="1:12" outlineLevel="1" x14ac:dyDescent="0.25">
      <c r="A118" s="10"/>
      <c r="B118" s="131" t="s">
        <v>66</v>
      </c>
      <c r="C118" s="70"/>
      <c r="D118" s="42"/>
      <c r="E118" s="118"/>
      <c r="F118" s="41"/>
      <c r="G118" s="182"/>
      <c r="H118" s="42"/>
      <c r="I118" s="72"/>
      <c r="J118" s="72"/>
      <c r="K118" s="182"/>
      <c r="L118" s="28"/>
    </row>
    <row r="119" spans="1:12" s="91" customFormat="1" outlineLevel="1" x14ac:dyDescent="0.25">
      <c r="A119" s="260"/>
      <c r="B119" s="351" t="s">
        <v>67</v>
      </c>
      <c r="C119" s="352">
        <v>170851.92</v>
      </c>
      <c r="D119" s="249">
        <f t="shared" ref="D119" si="52">E119+F119+G119</f>
        <v>170851.92</v>
      </c>
      <c r="E119" s="250">
        <f>C119*0.7356</f>
        <v>125678.67235200001</v>
      </c>
      <c r="F119" s="250">
        <f>C119*5%</f>
        <v>8542.5960000000014</v>
      </c>
      <c r="G119" s="251">
        <f>C119-E119-F119</f>
        <v>36630.651647999999</v>
      </c>
      <c r="H119" s="249">
        <f>I119+J119+K119</f>
        <v>170851.91999999998</v>
      </c>
      <c r="I119" s="250">
        <v>125678.67</v>
      </c>
      <c r="J119" s="250">
        <f>8542.6</f>
        <v>8542.6</v>
      </c>
      <c r="K119" s="253">
        <v>36630.65</v>
      </c>
      <c r="L119" s="271" t="s">
        <v>642</v>
      </c>
    </row>
    <row r="120" spans="1:12" s="9" customFormat="1" ht="28.5" customHeight="1" x14ac:dyDescent="0.2">
      <c r="A120" s="121">
        <v>27</v>
      </c>
      <c r="B120" s="130" t="s">
        <v>82</v>
      </c>
      <c r="C120" s="78">
        <f>SUM(C121:C125)</f>
        <v>157892.57999999999</v>
      </c>
      <c r="D120" s="40">
        <f>E120+F120+G120</f>
        <v>157892.57999999999</v>
      </c>
      <c r="E120" s="117">
        <f>SUM(E121:E125)</f>
        <v>116145.781848</v>
      </c>
      <c r="F120" s="81">
        <f>SUM(F121:F125)</f>
        <v>7894.6289999999999</v>
      </c>
      <c r="G120" s="181">
        <f>SUM(G121:G125)</f>
        <v>33852.169151999988</v>
      </c>
      <c r="H120" s="40">
        <f>I120+J120+K120</f>
        <v>157892.58000000002</v>
      </c>
      <c r="I120" s="75">
        <f>SUM(I121:I125)</f>
        <v>116145.78</v>
      </c>
      <c r="J120" s="75">
        <f>SUM(J121:J125)</f>
        <v>7894.63</v>
      </c>
      <c r="K120" s="181">
        <f>SUM(K121:K125)</f>
        <v>33852.17</v>
      </c>
      <c r="L120" s="35"/>
    </row>
    <row r="121" spans="1:12" outlineLevel="1" x14ac:dyDescent="0.25">
      <c r="A121" s="10"/>
      <c r="B121" s="131" t="s">
        <v>68</v>
      </c>
      <c r="C121" s="70"/>
      <c r="D121" s="42"/>
      <c r="E121" s="118"/>
      <c r="F121" s="41"/>
      <c r="G121" s="182"/>
      <c r="H121" s="42"/>
      <c r="I121" s="72"/>
      <c r="J121" s="72"/>
      <c r="K121" s="182"/>
      <c r="L121" s="28"/>
    </row>
    <row r="122" spans="1:12" outlineLevel="1" x14ac:dyDescent="0.25">
      <c r="A122" s="10"/>
      <c r="B122" s="131" t="s">
        <v>64</v>
      </c>
      <c r="C122" s="70"/>
      <c r="D122" s="42"/>
      <c r="E122" s="118"/>
      <c r="F122" s="41"/>
      <c r="G122" s="182"/>
      <c r="H122" s="42"/>
      <c r="I122" s="72"/>
      <c r="J122" s="72"/>
      <c r="K122" s="182"/>
      <c r="L122" s="28"/>
    </row>
    <row r="123" spans="1:12" outlineLevel="1" x14ac:dyDescent="0.25">
      <c r="A123" s="10"/>
      <c r="B123" s="131" t="s">
        <v>65</v>
      </c>
      <c r="C123" s="70"/>
      <c r="D123" s="42"/>
      <c r="E123" s="118"/>
      <c r="F123" s="41"/>
      <c r="G123" s="182"/>
      <c r="H123" s="42"/>
      <c r="I123" s="72"/>
      <c r="J123" s="72"/>
      <c r="K123" s="182"/>
      <c r="L123" s="28"/>
    </row>
    <row r="124" spans="1:12" outlineLevel="1" x14ac:dyDescent="0.25">
      <c r="A124" s="10"/>
      <c r="B124" s="131" t="s">
        <v>66</v>
      </c>
      <c r="C124" s="70"/>
      <c r="D124" s="42"/>
      <c r="E124" s="118"/>
      <c r="F124" s="41"/>
      <c r="G124" s="182"/>
      <c r="H124" s="42"/>
      <c r="I124" s="72"/>
      <c r="J124" s="72"/>
      <c r="K124" s="182"/>
      <c r="L124" s="28"/>
    </row>
    <row r="125" spans="1:12" s="91" customFormat="1" outlineLevel="1" x14ac:dyDescent="0.25">
      <c r="A125" s="260"/>
      <c r="B125" s="351" t="s">
        <v>67</v>
      </c>
      <c r="C125" s="352">
        <v>157892.57999999999</v>
      </c>
      <c r="D125" s="249">
        <f t="shared" ref="D125" si="53">E125+F125+G125</f>
        <v>157892.57999999999</v>
      </c>
      <c r="E125" s="250">
        <f>C125*0.7356</f>
        <v>116145.781848</v>
      </c>
      <c r="F125" s="250">
        <f>C125*5%</f>
        <v>7894.6289999999999</v>
      </c>
      <c r="G125" s="251">
        <f>C125-E125-F125</f>
        <v>33852.169151999988</v>
      </c>
      <c r="H125" s="249">
        <f>I125+J125+K125</f>
        <v>157892.58000000002</v>
      </c>
      <c r="I125" s="250">
        <v>116145.78</v>
      </c>
      <c r="J125" s="250">
        <f>7894.63</f>
        <v>7894.63</v>
      </c>
      <c r="K125" s="253">
        <v>33852.17</v>
      </c>
      <c r="L125" s="271" t="s">
        <v>642</v>
      </c>
    </row>
    <row r="126" spans="1:12" s="9" customFormat="1" ht="25.5" customHeight="1" x14ac:dyDescent="0.2">
      <c r="A126" s="121">
        <v>28</v>
      </c>
      <c r="B126" s="77" t="s">
        <v>54</v>
      </c>
      <c r="C126" s="78">
        <f>SUM(C127:C131)</f>
        <v>158187.60999999999</v>
      </c>
      <c r="D126" s="40">
        <f>E126+F126+G126</f>
        <v>158187.60999999999</v>
      </c>
      <c r="E126" s="75">
        <f>SUM(E127:E131)</f>
        <v>116362.805916</v>
      </c>
      <c r="F126" s="75">
        <f>SUM(F127:F131)</f>
        <v>7909.3804999999993</v>
      </c>
      <c r="G126" s="181">
        <f>SUM(G127:G131)</f>
        <v>33915.423583999989</v>
      </c>
      <c r="H126" s="40">
        <f>I126+J126+K126</f>
        <v>158187.60999999999</v>
      </c>
      <c r="I126" s="75">
        <f>SUM(I127:I131)</f>
        <v>116362.81</v>
      </c>
      <c r="J126" s="75">
        <f>SUM(J127:J131)</f>
        <v>7909.38</v>
      </c>
      <c r="K126" s="181">
        <f>SUM(K127:K131)</f>
        <v>33915.42</v>
      </c>
      <c r="L126" s="35"/>
    </row>
    <row r="127" spans="1:12" outlineLevel="1" x14ac:dyDescent="0.25">
      <c r="A127" s="10"/>
      <c r="B127" s="131" t="s">
        <v>68</v>
      </c>
      <c r="C127" s="70"/>
      <c r="D127" s="42"/>
      <c r="E127" s="72"/>
      <c r="F127" s="72"/>
      <c r="G127" s="182"/>
      <c r="H127" s="42"/>
      <c r="I127" s="72"/>
      <c r="J127" s="72"/>
      <c r="K127" s="182"/>
      <c r="L127" s="28"/>
    </row>
    <row r="128" spans="1:12" outlineLevel="1" x14ac:dyDescent="0.25">
      <c r="A128" s="10"/>
      <c r="B128" s="131" t="s">
        <v>64</v>
      </c>
      <c r="C128" s="70"/>
      <c r="D128" s="42"/>
      <c r="E128" s="72"/>
      <c r="F128" s="72"/>
      <c r="G128" s="182"/>
      <c r="H128" s="42"/>
      <c r="I128" s="72"/>
      <c r="J128" s="72"/>
      <c r="K128" s="182"/>
      <c r="L128" s="28"/>
    </row>
    <row r="129" spans="1:12" outlineLevel="1" x14ac:dyDescent="0.25">
      <c r="A129" s="10"/>
      <c r="B129" s="131" t="s">
        <v>65</v>
      </c>
      <c r="C129" s="70"/>
      <c r="D129" s="42"/>
      <c r="E129" s="72"/>
      <c r="F129" s="72"/>
      <c r="G129" s="182"/>
      <c r="H129" s="42"/>
      <c r="I129" s="72"/>
      <c r="J129" s="72"/>
      <c r="K129" s="182"/>
      <c r="L129" s="28"/>
    </row>
    <row r="130" spans="1:12" outlineLevel="1" x14ac:dyDescent="0.25">
      <c r="A130" s="10"/>
      <c r="B130" s="131" t="s">
        <v>66</v>
      </c>
      <c r="C130" s="70"/>
      <c r="D130" s="42"/>
      <c r="E130" s="72"/>
      <c r="F130" s="72"/>
      <c r="G130" s="182"/>
      <c r="H130" s="42"/>
      <c r="I130" s="72"/>
      <c r="J130" s="72"/>
      <c r="K130" s="182"/>
      <c r="L130" s="28"/>
    </row>
    <row r="131" spans="1:12" s="91" customFormat="1" outlineLevel="1" x14ac:dyDescent="0.25">
      <c r="A131" s="267"/>
      <c r="B131" s="351" t="s">
        <v>67</v>
      </c>
      <c r="C131" s="353">
        <v>158187.60999999999</v>
      </c>
      <c r="D131" s="249">
        <f t="shared" ref="D131" si="54">E131+F131+G131</f>
        <v>158187.60999999999</v>
      </c>
      <c r="E131" s="250">
        <f>C131*0.7356</f>
        <v>116362.805916</v>
      </c>
      <c r="F131" s="250">
        <f>C131*5%</f>
        <v>7909.3804999999993</v>
      </c>
      <c r="G131" s="251">
        <f>C131-E131-F131</f>
        <v>33915.423583999989</v>
      </c>
      <c r="H131" s="249">
        <f>I131+J131+K131</f>
        <v>158187.60999999999</v>
      </c>
      <c r="I131" s="318">
        <v>116362.81</v>
      </c>
      <c r="J131" s="318">
        <f>7909.38</f>
        <v>7909.38</v>
      </c>
      <c r="K131" s="354">
        <v>33915.42</v>
      </c>
      <c r="L131" s="271" t="s">
        <v>642</v>
      </c>
    </row>
    <row r="132" spans="1:12" s="54" customFormat="1" ht="24.75" customHeight="1" thickBot="1" x14ac:dyDescent="0.3">
      <c r="A132" s="126">
        <v>29</v>
      </c>
      <c r="B132" s="134" t="s">
        <v>556</v>
      </c>
      <c r="C132" s="350"/>
      <c r="D132" s="177">
        <f>E132+F132+G132</f>
        <v>0</v>
      </c>
      <c r="E132" s="137"/>
      <c r="F132" s="137"/>
      <c r="G132" s="138"/>
      <c r="H132" s="177">
        <f>I132+J132+K132</f>
        <v>0</v>
      </c>
      <c r="I132" s="137"/>
      <c r="J132" s="137"/>
      <c r="K132" s="138"/>
      <c r="L132" s="135"/>
    </row>
    <row r="133" spans="1:12" ht="15.75" thickBot="1" x14ac:dyDescent="0.3"/>
    <row r="134" spans="1:12" x14ac:dyDescent="0.25">
      <c r="B134" s="276" t="s">
        <v>68</v>
      </c>
      <c r="C134" s="279">
        <f>C8+C17+C22+C40+C54+C61+C80+C86+C91+C103+C109+C115+C121+C127</f>
        <v>3546777.1199999996</v>
      </c>
      <c r="D134" s="279">
        <f t="shared" ref="D134:K134" si="55">D8+D17+D22+D40+D54+D61+D80+D86+D91+D103+D109+D115+D121+D127</f>
        <v>3546777.12</v>
      </c>
      <c r="E134" s="279">
        <f t="shared" si="55"/>
        <v>2949332.9024206311</v>
      </c>
      <c r="F134" s="279">
        <f t="shared" si="55"/>
        <v>177338.856</v>
      </c>
      <c r="G134" s="279">
        <f t="shared" si="55"/>
        <v>420105.36157936906</v>
      </c>
      <c r="H134" s="279">
        <f t="shared" si="55"/>
        <v>3546777.12</v>
      </c>
      <c r="I134" s="279">
        <f t="shared" si="55"/>
        <v>2951436.5900000003</v>
      </c>
      <c r="J134" s="279">
        <f t="shared" si="55"/>
        <v>177338.86000000002</v>
      </c>
      <c r="K134" s="279">
        <f t="shared" si="55"/>
        <v>418001.67</v>
      </c>
      <c r="L134" s="2">
        <v>1</v>
      </c>
    </row>
    <row r="135" spans="1:12" x14ac:dyDescent="0.25">
      <c r="B135" s="278" t="s">
        <v>64</v>
      </c>
      <c r="C135" s="12">
        <f>C9+C23+C41+C55+C62+C81+C87+C92+C104+C110+C116+C122+C128</f>
        <v>19860947.619999997</v>
      </c>
      <c r="D135" s="12">
        <f t="shared" ref="D135:K135" si="56">D9+D23+D41+D55+D62+D81+D87+D92+D104+D110+D116+D122+D128</f>
        <v>19860947.620000001</v>
      </c>
      <c r="E135" s="12">
        <f t="shared" si="56"/>
        <v>16540669.691382758</v>
      </c>
      <c r="F135" s="12">
        <f t="shared" si="56"/>
        <v>993047.38100000005</v>
      </c>
      <c r="G135" s="12">
        <f t="shared" si="56"/>
        <v>2327230.5476172422</v>
      </c>
      <c r="H135" s="12">
        <f t="shared" si="56"/>
        <v>19860947.620000001</v>
      </c>
      <c r="I135" s="12">
        <f t="shared" si="56"/>
        <v>16561201.92</v>
      </c>
      <c r="J135" s="12">
        <f t="shared" si="56"/>
        <v>993047.38</v>
      </c>
      <c r="K135" s="12">
        <f t="shared" si="56"/>
        <v>2306698.3200000003</v>
      </c>
      <c r="L135" s="2">
        <v>2</v>
      </c>
    </row>
    <row r="136" spans="1:12" x14ac:dyDescent="0.25">
      <c r="B136" s="278" t="s">
        <v>65</v>
      </c>
      <c r="C136" s="12">
        <f>C10+C18+C24+C42+C56+C63+C82+C88+C93+C105+C111+C117+C123+C129</f>
        <v>2563150.2999999998</v>
      </c>
      <c r="D136" s="12">
        <f t="shared" ref="D136:K136" si="57">D10+D18+D24+D42+D56+D63+D82+D88+D93+D105+D111+D117+D123+D129</f>
        <v>2563150.2999999998</v>
      </c>
      <c r="E136" s="12">
        <f t="shared" si="57"/>
        <v>2132626.910231716</v>
      </c>
      <c r="F136" s="12">
        <f t="shared" si="57"/>
        <v>128157.51500000001</v>
      </c>
      <c r="G136" s="12">
        <f t="shared" si="57"/>
        <v>302365.87476828392</v>
      </c>
      <c r="H136" s="12">
        <f t="shared" si="57"/>
        <v>2563150.2999999998</v>
      </c>
      <c r="I136" s="12">
        <f t="shared" si="57"/>
        <v>2134593.2599999998</v>
      </c>
      <c r="J136" s="12">
        <f t="shared" si="57"/>
        <v>128157.51</v>
      </c>
      <c r="K136" s="12">
        <f t="shared" si="57"/>
        <v>300399.53000000003</v>
      </c>
      <c r="L136" s="2">
        <v>2</v>
      </c>
    </row>
    <row r="137" spans="1:12" x14ac:dyDescent="0.25">
      <c r="B137" s="278" t="s">
        <v>66</v>
      </c>
      <c r="C137" s="12">
        <f>C11+C19+C25+C43+C57+C64+C83+C89+C94+C106+C112++C118+C124+C130</f>
        <v>2547062.48</v>
      </c>
      <c r="D137" s="12">
        <f t="shared" ref="D137:K137" si="58">D11+D19+D25+D43+D57+D64+D83+D89+D94+D106+D112++D118+D124+D130</f>
        <v>2547062.48</v>
      </c>
      <c r="E137" s="12">
        <f t="shared" si="58"/>
        <v>2120059.5194832957</v>
      </c>
      <c r="F137" s="12">
        <f t="shared" si="58"/>
        <v>127353.12400000001</v>
      </c>
      <c r="G137" s="12">
        <f t="shared" si="58"/>
        <v>299649.83651670435</v>
      </c>
      <c r="H137" s="12">
        <f t="shared" si="58"/>
        <v>2547062.48</v>
      </c>
      <c r="I137" s="12">
        <f t="shared" si="58"/>
        <v>2122287.35</v>
      </c>
      <c r="J137" s="12">
        <f t="shared" si="58"/>
        <v>127353.12000000001</v>
      </c>
      <c r="K137" s="12">
        <f t="shared" si="58"/>
        <v>297422.01</v>
      </c>
      <c r="L137" s="2">
        <v>2</v>
      </c>
    </row>
    <row r="138" spans="1:12" x14ac:dyDescent="0.25">
      <c r="B138" s="278" t="s">
        <v>555</v>
      </c>
      <c r="C138" s="12">
        <f t="shared" ref="C138:K138" si="59">C14+C28+C31+C34+C37+C45+C48+C51+C58+C65+C68+C71+C74+C77+C97+C100</f>
        <v>37136942.530000001</v>
      </c>
      <c r="D138" s="12">
        <f t="shared" si="59"/>
        <v>37136942.530000001</v>
      </c>
      <c r="E138" s="12">
        <f t="shared" si="59"/>
        <v>29052805.141624004</v>
      </c>
      <c r="F138" s="12">
        <f t="shared" si="59"/>
        <v>1856847.138</v>
      </c>
      <c r="G138" s="12">
        <f t="shared" si="59"/>
        <v>6227290.250376001</v>
      </c>
      <c r="H138" s="12">
        <f t="shared" si="59"/>
        <v>8158467.7599999998</v>
      </c>
      <c r="I138" s="12">
        <f t="shared" si="59"/>
        <v>6879293.7300000004</v>
      </c>
      <c r="J138" s="12">
        <f t="shared" si="59"/>
        <v>407923.39</v>
      </c>
      <c r="K138" s="16">
        <f t="shared" si="59"/>
        <v>871250.64</v>
      </c>
      <c r="L138" s="2">
        <v>2</v>
      </c>
    </row>
    <row r="139" spans="1:12" x14ac:dyDescent="0.25">
      <c r="B139" s="281" t="s">
        <v>67</v>
      </c>
      <c r="C139" s="12">
        <f t="shared" ref="C139:K139" si="60">C12+C15+C20+C26+C29+C32+C35+C38+C46+C49+C52+C59+C66+C69+C72+C75+C78+C84+C95+C98+C101+C107+C113+C119+C125+C131+C132</f>
        <v>3674076.25</v>
      </c>
      <c r="D139" s="12">
        <f t="shared" si="60"/>
        <v>3674076.25</v>
      </c>
      <c r="E139" s="12">
        <f t="shared" si="60"/>
        <v>2702650.4895000001</v>
      </c>
      <c r="F139" s="12">
        <f t="shared" si="60"/>
        <v>183703.81249999997</v>
      </c>
      <c r="G139" s="12">
        <f t="shared" si="60"/>
        <v>787721.94799999974</v>
      </c>
      <c r="H139" s="12">
        <f t="shared" si="60"/>
        <v>3674076.25</v>
      </c>
      <c r="I139" s="12">
        <f t="shared" si="60"/>
        <v>2702650.5100000002</v>
      </c>
      <c r="J139" s="12">
        <f t="shared" si="60"/>
        <v>183703.8</v>
      </c>
      <c r="K139" s="16">
        <f t="shared" si="60"/>
        <v>787721.94000000006</v>
      </c>
      <c r="L139" s="2">
        <v>26</v>
      </c>
    </row>
    <row r="140" spans="1:12" s="9" customFormat="1" thickBot="1" x14ac:dyDescent="0.25">
      <c r="A140" s="275"/>
      <c r="B140" s="282" t="s">
        <v>625</v>
      </c>
      <c r="C140" s="18">
        <f t="shared" ref="C140:K140" si="61">SUBTOTAL(9,C134:C139)</f>
        <v>69328956.299999997</v>
      </c>
      <c r="D140" s="18">
        <f t="shared" si="61"/>
        <v>69328956.300000012</v>
      </c>
      <c r="E140" s="18">
        <f t="shared" si="61"/>
        <v>55498144.654642403</v>
      </c>
      <c r="F140" s="18">
        <f t="shared" si="61"/>
        <v>3466447.8265</v>
      </c>
      <c r="G140" s="18">
        <f t="shared" si="61"/>
        <v>10364363.818857599</v>
      </c>
      <c r="H140" s="18">
        <f t="shared" si="61"/>
        <v>40350481.530000001</v>
      </c>
      <c r="I140" s="18">
        <f t="shared" si="61"/>
        <v>33351463.360000007</v>
      </c>
      <c r="J140" s="18">
        <f t="shared" si="61"/>
        <v>2017524.0600000003</v>
      </c>
      <c r="K140" s="19">
        <f t="shared" si="61"/>
        <v>4981494.1100000003</v>
      </c>
    </row>
    <row r="141" spans="1:12" x14ac:dyDescent="0.25">
      <c r="C141" s="96">
        <f t="shared" ref="C141:K141" si="62">C6</f>
        <v>69328956.299999982</v>
      </c>
      <c r="D141" s="96">
        <f t="shared" si="62"/>
        <v>69328956.299999997</v>
      </c>
      <c r="E141" s="96">
        <f t="shared" si="62"/>
        <v>55498144.654642403</v>
      </c>
      <c r="F141" s="96">
        <f t="shared" si="62"/>
        <v>3466447.8265</v>
      </c>
      <c r="G141" s="96">
        <f t="shared" si="62"/>
        <v>10364363.818857595</v>
      </c>
      <c r="H141" s="96">
        <f t="shared" si="62"/>
        <v>40350481.530000001</v>
      </c>
      <c r="I141" s="96">
        <f t="shared" si="62"/>
        <v>33351463.360000003</v>
      </c>
      <c r="J141" s="96">
        <f t="shared" si="62"/>
        <v>2017524.0599999998</v>
      </c>
      <c r="K141" s="96">
        <f t="shared" si="62"/>
        <v>4981494.1099999985</v>
      </c>
    </row>
    <row r="142" spans="1:12" x14ac:dyDescent="0.25">
      <c r="C142" s="96">
        <f t="shared" ref="C142:K142" si="63">C140-C141</f>
        <v>0</v>
      </c>
      <c r="D142" s="96">
        <f t="shared" si="63"/>
        <v>0</v>
      </c>
      <c r="E142" s="96">
        <f t="shared" si="63"/>
        <v>0</v>
      </c>
      <c r="F142" s="96">
        <f t="shared" si="63"/>
        <v>0</v>
      </c>
      <c r="G142" s="96">
        <f t="shared" si="63"/>
        <v>0</v>
      </c>
      <c r="H142" s="96">
        <f t="shared" si="63"/>
        <v>0</v>
      </c>
      <c r="I142" s="96">
        <f t="shared" si="63"/>
        <v>0</v>
      </c>
      <c r="J142" s="96">
        <f t="shared" si="63"/>
        <v>0</v>
      </c>
      <c r="K142" s="96">
        <f t="shared" si="63"/>
        <v>0</v>
      </c>
    </row>
  </sheetData>
  <autoFilter ref="A7:L132"/>
  <dataConsolidate>
    <dataRefs count="1">
      <dataRef ref="A7:XFD7" sheet="Алек-Сах"/>
    </dataRefs>
  </dataConsolidate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5"/>
  </sheetPr>
  <dimension ref="A1:M90"/>
  <sheetViews>
    <sheetView view="pageBreakPreview" zoomScale="75" zoomScaleNormal="85" zoomScaleSheetLayoutView="75" workbookViewId="0">
      <pane ySplit="5" topLeftCell="A6" activePane="bottomLeft" state="frozen"/>
      <selection pane="bottomLeft" sqref="A1:L3"/>
    </sheetView>
  </sheetViews>
  <sheetFormatPr defaultColWidth="9.140625" defaultRowHeight="15" outlineLevelRow="1" x14ac:dyDescent="0.25"/>
  <cols>
    <col min="1" max="1" width="5.140625" style="25" customWidth="1"/>
    <col min="2" max="2" width="43.42578125" style="56" customWidth="1"/>
    <col min="3" max="3" width="15" style="95" customWidth="1"/>
    <col min="4" max="4" width="14.7109375" style="25" bestFit="1" customWidth="1"/>
    <col min="5" max="5" width="14.42578125" style="25" customWidth="1"/>
    <col min="6" max="6" width="13.5703125" style="25" customWidth="1"/>
    <col min="7" max="7" width="15.85546875" style="25" customWidth="1"/>
    <col min="8" max="8" width="14.7109375" style="25" bestFit="1" customWidth="1"/>
    <col min="9" max="9" width="14.42578125" style="25" customWidth="1"/>
    <col min="10" max="10" width="14.140625" style="25" customWidth="1"/>
    <col min="11" max="11" width="15.5703125" style="25" customWidth="1"/>
    <col min="12" max="12" width="22.140625" style="120" customWidth="1"/>
    <col min="13" max="13" width="11.140625" style="56" customWidth="1"/>
    <col min="14" max="16384" width="9.140625" style="56"/>
  </cols>
  <sheetData>
    <row r="1" spans="1:13" x14ac:dyDescent="0.25">
      <c r="A1" s="777" t="s">
        <v>877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3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3" ht="15.7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3" s="25" customFormat="1" ht="32.25" customHeight="1" x14ac:dyDescent="0.25">
      <c r="A4" s="779" t="s">
        <v>0</v>
      </c>
      <c r="B4" s="749" t="s">
        <v>1</v>
      </c>
      <c r="C4" s="729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</row>
    <row r="5" spans="1:13" s="25" customFormat="1" ht="52.5" customHeight="1" x14ac:dyDescent="0.25">
      <c r="A5" s="775"/>
      <c r="B5" s="781"/>
      <c r="C5" s="730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</row>
    <row r="6" spans="1:13" s="25" customFormat="1" ht="25.5" customHeight="1" x14ac:dyDescent="0.25">
      <c r="A6" s="211"/>
      <c r="B6" s="211" t="s">
        <v>9</v>
      </c>
      <c r="C6" s="93">
        <f>C7+C13+C16+C19+C22+C25+C28+C31+C34+C38+C41+C44+C47+C50+C53+C56+C59+C62+C65+C68+C71+C74+C77+C80</f>
        <v>74546036.020000026</v>
      </c>
      <c r="D6" s="64">
        <f>E6+F6+G6</f>
        <v>74546036.019999981</v>
      </c>
      <c r="E6" s="22">
        <f>E7+E13+E16+E19+E22+E25+E28+E31+E34+E38+E41+E44+E47+E50+E53+E56+E59+E62+E65+E68+E71+E74+E77+E80</f>
        <v>54386797.000974633</v>
      </c>
      <c r="F6" s="22">
        <f t="shared" ref="F6" si="0">F7+F13+F16+F19+F22+F25+F28+F31+F34+F38+F41+F44+F47+F50+F53+F56+F59+F62+F65+F68+F71+F74+F77+F80</f>
        <v>3727301.7943855743</v>
      </c>
      <c r="G6" s="23">
        <f t="shared" ref="G6" si="1">G7+G13+G16+G19+G22+G25+G28+G31+G34+G38+G41+G44+G47+G50+G53+G56+G59+G62+G65+G68+G71+G74+G77+G80</f>
        <v>16431937.224639768</v>
      </c>
      <c r="H6" s="64">
        <f>I6+J6+K6</f>
        <v>74546036.019999996</v>
      </c>
      <c r="I6" s="22">
        <f>I7+I13+I16+I19+I22+I25+I28+I31+I34+I38+I41+I44+I47+I50+I53+I56+I59+I62+I65+I68+I71+I74+I77+I80</f>
        <v>54386797.039999984</v>
      </c>
      <c r="J6" s="22">
        <f t="shared" ref="J6:K6" si="2">J7+J13+J16+J19+J22+J25+J28+J31+J34+J38+J41+J44+J47+J50+J53+J56+J59+J62+J65+J68+J71+J74+J77+J80</f>
        <v>3727301.77</v>
      </c>
      <c r="K6" s="23">
        <f t="shared" si="2"/>
        <v>16431937.210000003</v>
      </c>
      <c r="L6" s="123"/>
    </row>
    <row r="7" spans="1:13" s="403" customFormat="1" ht="30.75" customHeight="1" x14ac:dyDescent="0.25">
      <c r="A7" s="391">
        <v>1</v>
      </c>
      <c r="B7" s="392" t="s">
        <v>94</v>
      </c>
      <c r="C7" s="287">
        <f>SUM(C8:C12)</f>
        <v>7677242.7800000003</v>
      </c>
      <c r="D7" s="393">
        <f t="shared" ref="D7:D66" si="3">E7+F7+G7</f>
        <v>7677242.7799999993</v>
      </c>
      <c r="E7" s="401">
        <f>SUM(E8:E12)</f>
        <v>6544081.7483656555</v>
      </c>
      <c r="F7" s="401">
        <f>SUM(F8:F12)</f>
        <v>383862.14103293349</v>
      </c>
      <c r="G7" s="402">
        <f>SUM(G8:G12)</f>
        <v>749298.89060141065</v>
      </c>
      <c r="H7" s="393">
        <f>SUM(I7:K7)</f>
        <v>7677242.7799999993</v>
      </c>
      <c r="I7" s="401">
        <f>SUM(I8:I12)</f>
        <v>6544081.75</v>
      </c>
      <c r="J7" s="401">
        <f>SUM(J8:J12)</f>
        <v>383862.13999999996</v>
      </c>
      <c r="K7" s="402">
        <f>SUM(K8:K12)</f>
        <v>749298.8899999999</v>
      </c>
      <c r="L7" s="406"/>
    </row>
    <row r="8" spans="1:13" s="359" customFormat="1" outlineLevel="1" x14ac:dyDescent="0.25">
      <c r="A8" s="260"/>
      <c r="B8" s="261" t="s">
        <v>68</v>
      </c>
      <c r="C8" s="245">
        <v>661631.02</v>
      </c>
      <c r="D8" s="300">
        <f t="shared" si="3"/>
        <v>661631.0199999999</v>
      </c>
      <c r="E8" s="301">
        <v>443121.88265356008</v>
      </c>
      <c r="F8" s="301">
        <v>33081.551613272364</v>
      </c>
      <c r="G8" s="248">
        <v>185427.58573316748</v>
      </c>
      <c r="H8" s="300">
        <f t="shared" ref="H8:H69" si="4">SUM(I8:K8)</f>
        <v>661631.02</v>
      </c>
      <c r="I8" s="301">
        <v>443121.88</v>
      </c>
      <c r="J8" s="301">
        <v>33081.550000000003</v>
      </c>
      <c r="K8" s="248">
        <v>185427.59</v>
      </c>
      <c r="L8" s="358" t="s">
        <v>721</v>
      </c>
      <c r="M8" s="620">
        <v>42607</v>
      </c>
    </row>
    <row r="9" spans="1:13" s="359" customFormat="1" outlineLevel="1" x14ac:dyDescent="0.25">
      <c r="A9" s="260"/>
      <c r="B9" s="261" t="s">
        <v>64</v>
      </c>
      <c r="C9" s="245">
        <v>2273437.3199999998</v>
      </c>
      <c r="D9" s="300">
        <f t="shared" si="3"/>
        <v>2273437.3200000003</v>
      </c>
      <c r="E9" s="301">
        <v>2044173.4503680959</v>
      </c>
      <c r="F9" s="301">
        <v>113671.84741966106</v>
      </c>
      <c r="G9" s="248">
        <v>115592.02221224314</v>
      </c>
      <c r="H9" s="300">
        <f t="shared" si="4"/>
        <v>2273437.3199999998</v>
      </c>
      <c r="I9" s="301">
        <v>2044173.45</v>
      </c>
      <c r="J9" s="301">
        <v>113671.85</v>
      </c>
      <c r="K9" s="248">
        <v>115592.02</v>
      </c>
      <c r="L9" s="358" t="s">
        <v>721</v>
      </c>
      <c r="M9" s="620">
        <v>42618</v>
      </c>
    </row>
    <row r="10" spans="1:13" s="359" customFormat="1" outlineLevel="1" x14ac:dyDescent="0.25">
      <c r="A10" s="260"/>
      <c r="B10" s="261" t="s">
        <v>65</v>
      </c>
      <c r="C10" s="245">
        <v>497111.93</v>
      </c>
      <c r="D10" s="300">
        <f t="shared" si="3"/>
        <v>497111.92999999993</v>
      </c>
      <c r="E10" s="301">
        <v>317442.74</v>
      </c>
      <c r="F10" s="301">
        <v>24855.61</v>
      </c>
      <c r="G10" s="248">
        <v>154813.57999999999</v>
      </c>
      <c r="H10" s="300">
        <f t="shared" si="4"/>
        <v>497111.92999999993</v>
      </c>
      <c r="I10" s="301">
        <v>317442.74</v>
      </c>
      <c r="J10" s="301">
        <v>24855.61</v>
      </c>
      <c r="K10" s="248">
        <v>154813.57999999999</v>
      </c>
      <c r="L10" s="358" t="s">
        <v>721</v>
      </c>
      <c r="M10" s="620">
        <v>42655</v>
      </c>
    </row>
    <row r="11" spans="1:13" s="359" customFormat="1" outlineLevel="1" x14ac:dyDescent="0.25">
      <c r="A11" s="260"/>
      <c r="B11" s="261" t="s">
        <v>555</v>
      </c>
      <c r="C11" s="245">
        <v>3934564.27</v>
      </c>
      <c r="D11" s="300">
        <f t="shared" si="3"/>
        <v>3934564.27</v>
      </c>
      <c r="E11" s="301">
        <v>3510941.17</v>
      </c>
      <c r="F11" s="301">
        <v>196728.22</v>
      </c>
      <c r="G11" s="248">
        <v>226894.88</v>
      </c>
      <c r="H11" s="300">
        <f t="shared" si="4"/>
        <v>3934564.27</v>
      </c>
      <c r="I11" s="301">
        <v>3510941.17</v>
      </c>
      <c r="J11" s="301">
        <v>196728.22</v>
      </c>
      <c r="K11" s="248">
        <v>226894.88</v>
      </c>
      <c r="L11" s="358" t="s">
        <v>721</v>
      </c>
      <c r="M11" s="620">
        <v>42618</v>
      </c>
    </row>
    <row r="12" spans="1:13" s="359" customFormat="1" outlineLevel="1" x14ac:dyDescent="0.25">
      <c r="A12" s="260"/>
      <c r="B12" s="261" t="s">
        <v>67</v>
      </c>
      <c r="C12" s="245">
        <v>310498.24</v>
      </c>
      <c r="D12" s="300">
        <f t="shared" si="3"/>
        <v>310498.24</v>
      </c>
      <c r="E12" s="301">
        <f>C12*0.7356</f>
        <v>228402.505344</v>
      </c>
      <c r="F12" s="301">
        <f>C12*0.05</f>
        <v>15524.912</v>
      </c>
      <c r="G12" s="248">
        <f>C12-E12-F12</f>
        <v>66570.822655999989</v>
      </c>
      <c r="H12" s="300">
        <f>I12+J12+K12</f>
        <v>310498.24</v>
      </c>
      <c r="I12" s="301">
        <v>228402.51</v>
      </c>
      <c r="J12" s="301">
        <v>15524.91</v>
      </c>
      <c r="K12" s="248">
        <v>66570.820000000007</v>
      </c>
      <c r="L12" s="358" t="s">
        <v>645</v>
      </c>
    </row>
    <row r="13" spans="1:13" s="403" customFormat="1" ht="33" customHeight="1" x14ac:dyDescent="0.25">
      <c r="A13" s="391">
        <v>2</v>
      </c>
      <c r="B13" s="392" t="s">
        <v>100</v>
      </c>
      <c r="C13" s="287">
        <f>SUM(C14:C15)</f>
        <v>4389279.41</v>
      </c>
      <c r="D13" s="393">
        <f t="shared" si="3"/>
        <v>4389279.4099999992</v>
      </c>
      <c r="E13" s="401">
        <f>SUM(E14:E15)</f>
        <v>2944548.099286499</v>
      </c>
      <c r="F13" s="401">
        <f>SUM(F14:F15)</f>
        <v>219463.97450000001</v>
      </c>
      <c r="G13" s="402">
        <f>SUM(G14:G15)</f>
        <v>1225267.3362135</v>
      </c>
      <c r="H13" s="393">
        <f t="shared" si="4"/>
        <v>4389279.41</v>
      </c>
      <c r="I13" s="401">
        <f>SUM(I14:I15)</f>
        <v>2944548.09</v>
      </c>
      <c r="J13" s="401">
        <f>SUM(J14:J15)</f>
        <v>219463.97</v>
      </c>
      <c r="K13" s="402">
        <f>SUM(K14:K15)</f>
        <v>1225267.3500000001</v>
      </c>
      <c r="L13" s="406"/>
    </row>
    <row r="14" spans="1:13" s="359" customFormat="1" outlineLevel="1" x14ac:dyDescent="0.25">
      <c r="A14" s="260"/>
      <c r="B14" s="261" t="s">
        <v>555</v>
      </c>
      <c r="C14" s="245">
        <v>4315413.93</v>
      </c>
      <c r="D14" s="300">
        <f t="shared" si="3"/>
        <v>4315413.9299999988</v>
      </c>
      <c r="E14" s="301">
        <v>2890212.6521984991</v>
      </c>
      <c r="F14" s="301">
        <v>215770.70050000001</v>
      </c>
      <c r="G14" s="248">
        <v>1209430.5773014999</v>
      </c>
      <c r="H14" s="300">
        <f t="shared" si="4"/>
        <v>4315413.93</v>
      </c>
      <c r="I14" s="301">
        <v>2890212.65</v>
      </c>
      <c r="J14" s="301">
        <v>215770.7</v>
      </c>
      <c r="K14" s="248">
        <v>1209430.58</v>
      </c>
      <c r="L14" s="358" t="s">
        <v>721</v>
      </c>
      <c r="M14" s="620">
        <v>42608</v>
      </c>
    </row>
    <row r="15" spans="1:13" s="359" customFormat="1" outlineLevel="1" x14ac:dyDescent="0.25">
      <c r="A15" s="260"/>
      <c r="B15" s="261" t="s">
        <v>67</v>
      </c>
      <c r="C15" s="245">
        <v>73865.48</v>
      </c>
      <c r="D15" s="300">
        <f>E15+F15+G15</f>
        <v>73865.48</v>
      </c>
      <c r="E15" s="301">
        <f>C15*0.7356</f>
        <v>54335.447088000001</v>
      </c>
      <c r="F15" s="301">
        <f>C15*0.05</f>
        <v>3693.2739999999999</v>
      </c>
      <c r="G15" s="248">
        <f>C15-E15-F15</f>
        <v>15836.758911999996</v>
      </c>
      <c r="H15" s="300">
        <f>I15+J15+K15</f>
        <v>73865.48</v>
      </c>
      <c r="I15" s="301">
        <v>54335.44</v>
      </c>
      <c r="J15" s="301">
        <v>3693.27</v>
      </c>
      <c r="K15" s="248">
        <v>15836.77</v>
      </c>
      <c r="L15" s="358" t="s">
        <v>659</v>
      </c>
    </row>
    <row r="16" spans="1:13" s="54" customFormat="1" ht="33" customHeight="1" x14ac:dyDescent="0.25">
      <c r="A16" s="209">
        <v>3</v>
      </c>
      <c r="B16" s="60" t="s">
        <v>95</v>
      </c>
      <c r="C16" s="58">
        <f>SUM(C17:C18)</f>
        <v>104437.34</v>
      </c>
      <c r="D16" s="13">
        <f t="shared" si="3"/>
        <v>104437.34</v>
      </c>
      <c r="E16" s="44">
        <f>SUM(E17:E18)</f>
        <v>76824.107304000005</v>
      </c>
      <c r="F16" s="44">
        <f>SUM(F17:F18)</f>
        <v>5221.8670000000002</v>
      </c>
      <c r="G16" s="297">
        <f>SUM(G17:G18)</f>
        <v>22391.365695999993</v>
      </c>
      <c r="H16" s="13">
        <f t="shared" si="4"/>
        <v>104437.34</v>
      </c>
      <c r="I16" s="44">
        <f>SUM(I17:I18)</f>
        <v>76824.11</v>
      </c>
      <c r="J16" s="44">
        <f>SUM(J17:J18)</f>
        <v>5221.87</v>
      </c>
      <c r="K16" s="297">
        <f>SUM(K17:K18)</f>
        <v>22391.360000000001</v>
      </c>
      <c r="L16" s="141"/>
    </row>
    <row r="17" spans="1:13" outlineLevel="1" x14ac:dyDescent="0.25">
      <c r="A17" s="10"/>
      <c r="B17" s="43" t="s">
        <v>557</v>
      </c>
      <c r="C17" s="59"/>
      <c r="D17" s="29">
        <f t="shared" si="3"/>
        <v>0</v>
      </c>
      <c r="E17" s="12"/>
      <c r="F17" s="12"/>
      <c r="G17" s="16"/>
      <c r="H17" s="29">
        <f t="shared" si="4"/>
        <v>0</v>
      </c>
      <c r="I17" s="12"/>
      <c r="J17" s="12"/>
      <c r="K17" s="16"/>
      <c r="L17" s="124"/>
    </row>
    <row r="18" spans="1:13" s="359" customFormat="1" outlineLevel="1" x14ac:dyDescent="0.25">
      <c r="A18" s="260"/>
      <c r="B18" s="261" t="s">
        <v>67</v>
      </c>
      <c r="C18" s="245">
        <v>104437.34</v>
      </c>
      <c r="D18" s="300">
        <f t="shared" si="3"/>
        <v>104437.34</v>
      </c>
      <c r="E18" s="301">
        <f>C18*0.7356</f>
        <v>76824.107304000005</v>
      </c>
      <c r="F18" s="301">
        <f>C18*0.05</f>
        <v>5221.8670000000002</v>
      </c>
      <c r="G18" s="248">
        <f>C18-E18-F18</f>
        <v>22391.365695999993</v>
      </c>
      <c r="H18" s="300">
        <f>I18+J18+K18</f>
        <v>104437.34</v>
      </c>
      <c r="I18" s="301">
        <v>76824.11</v>
      </c>
      <c r="J18" s="301">
        <v>5221.87</v>
      </c>
      <c r="K18" s="248">
        <v>22391.360000000001</v>
      </c>
      <c r="L18" s="358" t="s">
        <v>645</v>
      </c>
    </row>
    <row r="19" spans="1:13" s="403" customFormat="1" ht="30.75" customHeight="1" x14ac:dyDescent="0.25">
      <c r="A19" s="391">
        <v>4</v>
      </c>
      <c r="B19" s="392" t="s">
        <v>101</v>
      </c>
      <c r="C19" s="287">
        <f>SUM(C20:C21)</f>
        <v>3999482.06</v>
      </c>
      <c r="D19" s="393">
        <f t="shared" si="3"/>
        <v>3999482.06</v>
      </c>
      <c r="E19" s="401">
        <f>SUM(E20:E21)</f>
        <v>2685615.2563946731</v>
      </c>
      <c r="F19" s="401">
        <f>SUM(F20:F21)</f>
        <v>199974.10042002317</v>
      </c>
      <c r="G19" s="402">
        <f>SUM(G20:G21)</f>
        <v>1113892.7031853036</v>
      </c>
      <c r="H19" s="393">
        <f t="shared" si="4"/>
        <v>3999482.0599999996</v>
      </c>
      <c r="I19" s="401">
        <f>SUM(I20:I21)</f>
        <v>2685615.26</v>
      </c>
      <c r="J19" s="401">
        <f>SUM(J20:J21)</f>
        <v>199974.1</v>
      </c>
      <c r="K19" s="402">
        <f>SUM(K20:K21)</f>
        <v>1113892.7</v>
      </c>
      <c r="L19" s="406"/>
    </row>
    <row r="20" spans="1:13" s="359" customFormat="1" outlineLevel="1" x14ac:dyDescent="0.25">
      <c r="A20" s="260"/>
      <c r="B20" s="261" t="s">
        <v>555</v>
      </c>
      <c r="C20" s="245">
        <v>3888108.91</v>
      </c>
      <c r="D20" s="300">
        <f t="shared" si="3"/>
        <v>3888108.91</v>
      </c>
      <c r="E20" s="301">
        <v>2603689.1672546733</v>
      </c>
      <c r="F20" s="301">
        <v>194405.44292002317</v>
      </c>
      <c r="G20" s="248">
        <v>1090014.2998253037</v>
      </c>
      <c r="H20" s="300">
        <f t="shared" si="4"/>
        <v>3888108.91</v>
      </c>
      <c r="I20" s="301">
        <v>2603689.17</v>
      </c>
      <c r="J20" s="301">
        <v>194405.44</v>
      </c>
      <c r="K20" s="248">
        <v>1090014.3</v>
      </c>
      <c r="L20" s="358" t="s">
        <v>721</v>
      </c>
      <c r="M20" s="620">
        <v>42580</v>
      </c>
    </row>
    <row r="21" spans="1:13" s="359" customFormat="1" outlineLevel="1" x14ac:dyDescent="0.25">
      <c r="A21" s="260"/>
      <c r="B21" s="261" t="s">
        <v>67</v>
      </c>
      <c r="C21" s="245">
        <v>111373.15</v>
      </c>
      <c r="D21" s="300">
        <f>E21+F21+G21</f>
        <v>111373.15</v>
      </c>
      <c r="E21" s="301">
        <f>C21*0.7356</f>
        <v>81926.089139999996</v>
      </c>
      <c r="F21" s="301">
        <f>C21*0.05</f>
        <v>5568.6575000000003</v>
      </c>
      <c r="G21" s="248">
        <f>C21-E21-F21</f>
        <v>23878.403359999997</v>
      </c>
      <c r="H21" s="300">
        <f>I21+J21+K21</f>
        <v>111373.15</v>
      </c>
      <c r="I21" s="301">
        <v>81926.09</v>
      </c>
      <c r="J21" s="301">
        <v>5568.66</v>
      </c>
      <c r="K21" s="248">
        <v>23878.400000000001</v>
      </c>
      <c r="L21" s="358" t="s">
        <v>659</v>
      </c>
    </row>
    <row r="22" spans="1:13" s="403" customFormat="1" ht="42" customHeight="1" x14ac:dyDescent="0.25">
      <c r="A22" s="391">
        <v>5</v>
      </c>
      <c r="B22" s="392" t="s">
        <v>102</v>
      </c>
      <c r="C22" s="287">
        <f>SUM(C23:C24)</f>
        <v>3837150.18</v>
      </c>
      <c r="D22" s="393">
        <f t="shared" si="3"/>
        <v>3837150.1799999997</v>
      </c>
      <c r="E22" s="401">
        <f>SUM(E23:E24)</f>
        <v>2574152.1978729996</v>
      </c>
      <c r="F22" s="401">
        <f>SUM(F23:F24)</f>
        <v>191857.50650000002</v>
      </c>
      <c r="G22" s="402">
        <f>SUM(G23:G24)</f>
        <v>1071140.4756270002</v>
      </c>
      <c r="H22" s="393">
        <f t="shared" si="4"/>
        <v>3837150.1799999997</v>
      </c>
      <c r="I22" s="401">
        <f>SUM(I23:I24)</f>
        <v>2574152.1999999997</v>
      </c>
      <c r="J22" s="401">
        <f>SUM(J23:J24)</f>
        <v>191857.51</v>
      </c>
      <c r="K22" s="402">
        <f>SUM(K23:K24)</f>
        <v>1071140.47</v>
      </c>
      <c r="L22" s="406"/>
    </row>
    <row r="23" spans="1:13" s="359" customFormat="1" outlineLevel="1" x14ac:dyDescent="0.25">
      <c r="A23" s="260"/>
      <c r="B23" s="261" t="s">
        <v>555</v>
      </c>
      <c r="C23" s="245">
        <v>3767581.23</v>
      </c>
      <c r="D23" s="300">
        <f t="shared" si="3"/>
        <v>3767581.23</v>
      </c>
      <c r="E23" s="301">
        <v>2522977.2782529998</v>
      </c>
      <c r="F23" s="301">
        <v>188379.05900000001</v>
      </c>
      <c r="G23" s="248">
        <v>1056224.8927470003</v>
      </c>
      <c r="H23" s="300">
        <f t="shared" si="4"/>
        <v>3767581.2299999995</v>
      </c>
      <c r="I23" s="301">
        <v>2522977.2799999998</v>
      </c>
      <c r="J23" s="301">
        <v>188379.06</v>
      </c>
      <c r="K23" s="248">
        <v>1056224.8899999999</v>
      </c>
      <c r="L23" s="358" t="s">
        <v>721</v>
      </c>
      <c r="M23" s="620">
        <v>42580</v>
      </c>
    </row>
    <row r="24" spans="1:13" s="359" customFormat="1" outlineLevel="1" x14ac:dyDescent="0.25">
      <c r="A24" s="260"/>
      <c r="B24" s="261" t="s">
        <v>67</v>
      </c>
      <c r="C24" s="245">
        <v>69568.95</v>
      </c>
      <c r="D24" s="300">
        <f>E24+F24+G24</f>
        <v>69568.95</v>
      </c>
      <c r="E24" s="301">
        <f>C24*0.7356</f>
        <v>51174.919620000001</v>
      </c>
      <c r="F24" s="301">
        <f>C24*0.05</f>
        <v>3478.4475000000002</v>
      </c>
      <c r="G24" s="248">
        <f>C24-E24-F24</f>
        <v>14915.582879999996</v>
      </c>
      <c r="H24" s="300">
        <f>I24+J24+K24</f>
        <v>69568.95</v>
      </c>
      <c r="I24" s="301">
        <v>51174.92</v>
      </c>
      <c r="J24" s="301">
        <v>3478.45</v>
      </c>
      <c r="K24" s="248">
        <v>14915.58</v>
      </c>
      <c r="L24" s="358" t="s">
        <v>659</v>
      </c>
    </row>
    <row r="25" spans="1:13" s="403" customFormat="1" ht="30" customHeight="1" x14ac:dyDescent="0.25">
      <c r="A25" s="391">
        <v>6</v>
      </c>
      <c r="B25" s="392" t="s">
        <v>103</v>
      </c>
      <c r="C25" s="287">
        <f>SUM(C26:C27)</f>
        <v>4507292.0200000005</v>
      </c>
      <c r="D25" s="393">
        <f t="shared" si="3"/>
        <v>4507292.0200000005</v>
      </c>
      <c r="E25" s="401">
        <f>SUM(E26:E27)</f>
        <v>3023716.8475930002</v>
      </c>
      <c r="F25" s="401">
        <f>SUM(F26:F27)</f>
        <v>225364.60399999999</v>
      </c>
      <c r="G25" s="402">
        <f>SUM(G26:G27)</f>
        <v>1258210.5684070003</v>
      </c>
      <c r="H25" s="393">
        <f t="shared" si="4"/>
        <v>4507292.0200000005</v>
      </c>
      <c r="I25" s="401">
        <f>SUM(I26:I27)</f>
        <v>3023716.85</v>
      </c>
      <c r="J25" s="401">
        <f>SUM(J26:J27)</f>
        <v>225364.6</v>
      </c>
      <c r="K25" s="402">
        <f>SUM(K26:K27)</f>
        <v>1258210.57</v>
      </c>
      <c r="L25" s="406"/>
    </row>
    <row r="26" spans="1:13" s="359" customFormat="1" outlineLevel="1" x14ac:dyDescent="0.25">
      <c r="A26" s="260"/>
      <c r="B26" s="261" t="s">
        <v>555</v>
      </c>
      <c r="C26" s="245">
        <v>4428195.5600000005</v>
      </c>
      <c r="D26" s="300">
        <f t="shared" si="3"/>
        <v>4428195.5600000005</v>
      </c>
      <c r="E26" s="301">
        <v>2965533.4916170002</v>
      </c>
      <c r="F26" s="301">
        <v>221409.78099999999</v>
      </c>
      <c r="G26" s="248">
        <v>1241252.2873830004</v>
      </c>
      <c r="H26" s="300">
        <f t="shared" si="4"/>
        <v>4428195.5600000005</v>
      </c>
      <c r="I26" s="301">
        <v>2965533.49</v>
      </c>
      <c r="J26" s="301">
        <v>221409.78</v>
      </c>
      <c r="K26" s="248">
        <v>1241252.29</v>
      </c>
      <c r="L26" s="358" t="s">
        <v>721</v>
      </c>
      <c r="M26" s="620">
        <v>42598</v>
      </c>
    </row>
    <row r="27" spans="1:13" s="359" customFormat="1" outlineLevel="1" x14ac:dyDescent="0.25">
      <c r="A27" s="260"/>
      <c r="B27" s="261" t="s">
        <v>67</v>
      </c>
      <c r="C27" s="245">
        <v>79096.460000000006</v>
      </c>
      <c r="D27" s="300">
        <f>E27+F27+G27</f>
        <v>79096.460000000006</v>
      </c>
      <c r="E27" s="301">
        <f>C27*0.7356</f>
        <v>58183.355976000006</v>
      </c>
      <c r="F27" s="301">
        <f>C27*0.05</f>
        <v>3954.8230000000003</v>
      </c>
      <c r="G27" s="248">
        <f>C27-E27-F27</f>
        <v>16958.281024</v>
      </c>
      <c r="H27" s="300">
        <f>I27+J27+K27</f>
        <v>79096.459999999992</v>
      </c>
      <c r="I27" s="301">
        <v>58183.360000000001</v>
      </c>
      <c r="J27" s="301">
        <v>3954.82</v>
      </c>
      <c r="K27" s="248">
        <v>16958.28</v>
      </c>
      <c r="L27" s="358" t="s">
        <v>659</v>
      </c>
    </row>
    <row r="28" spans="1:13" s="403" customFormat="1" ht="35.25" customHeight="1" x14ac:dyDescent="0.25">
      <c r="A28" s="391">
        <v>7</v>
      </c>
      <c r="B28" s="392" t="s">
        <v>104</v>
      </c>
      <c r="C28" s="287">
        <f>SUM(C29:C30)</f>
        <v>3293776.8</v>
      </c>
      <c r="D28" s="393">
        <f t="shared" si="3"/>
        <v>3293776.7999999993</v>
      </c>
      <c r="E28" s="401">
        <f>SUM(E29:E30)</f>
        <v>2210536.4255994493</v>
      </c>
      <c r="F28" s="401">
        <f>SUM(F29:F30)</f>
        <v>164688.83786314039</v>
      </c>
      <c r="G28" s="402">
        <f>SUM(G29:G30)</f>
        <v>918551.53653740988</v>
      </c>
      <c r="H28" s="393">
        <f t="shared" si="4"/>
        <v>3293776.8</v>
      </c>
      <c r="I28" s="401">
        <f>SUM(I29:I30)</f>
        <v>2210536.4300000002</v>
      </c>
      <c r="J28" s="401">
        <f>SUM(J29:J30)</f>
        <v>164688.84</v>
      </c>
      <c r="K28" s="402">
        <f>SUM(K29:K30)</f>
        <v>918551.53</v>
      </c>
      <c r="L28" s="406"/>
    </row>
    <row r="29" spans="1:13" s="359" customFormat="1" outlineLevel="1" x14ac:dyDescent="0.25">
      <c r="A29" s="260"/>
      <c r="B29" s="261" t="s">
        <v>555</v>
      </c>
      <c r="C29" s="245">
        <v>3220316.88</v>
      </c>
      <c r="D29" s="300">
        <f t="shared" si="3"/>
        <v>3220316.88</v>
      </c>
      <c r="E29" s="301">
        <v>2156499.3084474495</v>
      </c>
      <c r="F29" s="301">
        <v>161015.84186314038</v>
      </c>
      <c r="G29" s="248">
        <v>902801.72968940984</v>
      </c>
      <c r="H29" s="300">
        <f t="shared" si="4"/>
        <v>3220316.88</v>
      </c>
      <c r="I29" s="301">
        <v>2156499.31</v>
      </c>
      <c r="J29" s="301">
        <v>161015.84</v>
      </c>
      <c r="K29" s="248">
        <v>902801.73</v>
      </c>
      <c r="L29" s="358" t="s">
        <v>721</v>
      </c>
      <c r="M29" s="620">
        <v>42580</v>
      </c>
    </row>
    <row r="30" spans="1:13" s="359" customFormat="1" outlineLevel="1" x14ac:dyDescent="0.25">
      <c r="A30" s="260"/>
      <c r="B30" s="261" t="s">
        <v>67</v>
      </c>
      <c r="C30" s="245">
        <v>73459.92</v>
      </c>
      <c r="D30" s="300">
        <f>E30+F30+G30</f>
        <v>73459.92</v>
      </c>
      <c r="E30" s="301">
        <f>C30*0.7356</f>
        <v>54037.117151999999</v>
      </c>
      <c r="F30" s="301">
        <f>C30*0.05</f>
        <v>3672.9960000000001</v>
      </c>
      <c r="G30" s="248">
        <f>C30-E30-F30</f>
        <v>15749.806848</v>
      </c>
      <c r="H30" s="300">
        <f>I30+J30+K30</f>
        <v>73459.92</v>
      </c>
      <c r="I30" s="301">
        <v>54037.120000000003</v>
      </c>
      <c r="J30" s="301">
        <v>3673</v>
      </c>
      <c r="K30" s="248">
        <v>15749.8</v>
      </c>
      <c r="L30" s="358" t="s">
        <v>659</v>
      </c>
    </row>
    <row r="31" spans="1:13" s="403" customFormat="1" ht="32.25" customHeight="1" x14ac:dyDescent="0.25">
      <c r="A31" s="391">
        <v>8</v>
      </c>
      <c r="B31" s="392" t="s">
        <v>105</v>
      </c>
      <c r="C31" s="287">
        <f>SUM(C32:C33)</f>
        <v>3318823.28</v>
      </c>
      <c r="D31" s="393">
        <f t="shared" si="3"/>
        <v>3318823.2799999993</v>
      </c>
      <c r="E31" s="401">
        <f>SUM(E32:E33)</f>
        <v>2229058.4898803872</v>
      </c>
      <c r="F31" s="401">
        <f>SUM(F32:F33)</f>
        <v>165941.16698752367</v>
      </c>
      <c r="G31" s="402">
        <f>SUM(G32:G33)</f>
        <v>923823.62313208845</v>
      </c>
      <c r="H31" s="393">
        <f t="shared" si="4"/>
        <v>3318823.2800000003</v>
      </c>
      <c r="I31" s="401">
        <f>SUM(I32:I33)</f>
        <v>2229058.4900000002</v>
      </c>
      <c r="J31" s="401">
        <f>SUM(J32:J33)</f>
        <v>165941.16999999998</v>
      </c>
      <c r="K31" s="402">
        <f>SUM(K32:K33)</f>
        <v>923823.62</v>
      </c>
      <c r="L31" s="406"/>
    </row>
    <row r="32" spans="1:13" s="359" customFormat="1" outlineLevel="1" x14ac:dyDescent="0.25">
      <c r="A32" s="260"/>
      <c r="B32" s="261" t="s">
        <v>555</v>
      </c>
      <c r="C32" s="245">
        <v>3223100.32</v>
      </c>
      <c r="D32" s="300">
        <f t="shared" si="3"/>
        <v>3223100.3199999994</v>
      </c>
      <c r="E32" s="301">
        <v>2158644.6805043872</v>
      </c>
      <c r="F32" s="301">
        <v>161155.01898752368</v>
      </c>
      <c r="G32" s="248">
        <v>903300.6205080885</v>
      </c>
      <c r="H32" s="300">
        <f t="shared" si="4"/>
        <v>3223100.3200000003</v>
      </c>
      <c r="I32" s="301">
        <v>2158644.6800000002</v>
      </c>
      <c r="J32" s="301">
        <v>161155.01999999999</v>
      </c>
      <c r="K32" s="248">
        <v>903300.62</v>
      </c>
      <c r="L32" s="358" t="s">
        <v>721</v>
      </c>
      <c r="M32" s="620">
        <v>42608</v>
      </c>
    </row>
    <row r="33" spans="1:13" s="359" customFormat="1" outlineLevel="1" x14ac:dyDescent="0.25">
      <c r="A33" s="260"/>
      <c r="B33" s="261" t="s">
        <v>67</v>
      </c>
      <c r="C33" s="245">
        <v>95722.96</v>
      </c>
      <c r="D33" s="300">
        <f>E33+F33+G33</f>
        <v>95722.96</v>
      </c>
      <c r="E33" s="301">
        <f>C33*0.7356</f>
        <v>70413.809376000005</v>
      </c>
      <c r="F33" s="301">
        <f>C33*0.05</f>
        <v>4786.1480000000001</v>
      </c>
      <c r="G33" s="248">
        <f>C33-E33-F33</f>
        <v>20523.002624000001</v>
      </c>
      <c r="H33" s="300">
        <f>I33+J33+K33</f>
        <v>95722.959999999992</v>
      </c>
      <c r="I33" s="301">
        <v>70413.81</v>
      </c>
      <c r="J33" s="301">
        <v>4786.1499999999996</v>
      </c>
      <c r="K33" s="248">
        <v>20523</v>
      </c>
      <c r="L33" s="358" t="s">
        <v>659</v>
      </c>
    </row>
    <row r="34" spans="1:13" s="403" customFormat="1" ht="32.25" customHeight="1" x14ac:dyDescent="0.25">
      <c r="A34" s="391">
        <v>9</v>
      </c>
      <c r="B34" s="392" t="s">
        <v>96</v>
      </c>
      <c r="C34" s="287">
        <f>SUM(C35:C37)</f>
        <v>1808603.4600000002</v>
      </c>
      <c r="D34" s="393">
        <f t="shared" si="3"/>
        <v>1808603.46</v>
      </c>
      <c r="E34" s="401">
        <f>SUM(E35:E37)</f>
        <v>1610198.5050486</v>
      </c>
      <c r="F34" s="401">
        <f>SUM(F35:F37)</f>
        <v>90430.161000000007</v>
      </c>
      <c r="G34" s="402">
        <f>SUM(G35:G37)</f>
        <v>107974.79395139997</v>
      </c>
      <c r="H34" s="393">
        <f t="shared" si="4"/>
        <v>1808603.46</v>
      </c>
      <c r="I34" s="401">
        <f>SUM(I35:I37)</f>
        <v>1610198.51</v>
      </c>
      <c r="J34" s="401">
        <f>SUM(J35:J37)</f>
        <v>90430.16</v>
      </c>
      <c r="K34" s="402">
        <f>SUM(K35:K37)</f>
        <v>107974.79</v>
      </c>
      <c r="L34" s="406"/>
    </row>
    <row r="35" spans="1:13" s="359" customFormat="1" outlineLevel="1" x14ac:dyDescent="0.25">
      <c r="A35" s="260"/>
      <c r="B35" s="261" t="s">
        <v>64</v>
      </c>
      <c r="C35" s="245">
        <v>1465958.6</v>
      </c>
      <c r="D35" s="300">
        <f t="shared" si="3"/>
        <v>1465958.6</v>
      </c>
      <c r="E35" s="301">
        <v>1318124.6000000001</v>
      </c>
      <c r="F35" s="301">
        <v>73297.919999999998</v>
      </c>
      <c r="G35" s="248">
        <v>74536.08</v>
      </c>
      <c r="H35" s="300">
        <f t="shared" si="4"/>
        <v>1465958.6</v>
      </c>
      <c r="I35" s="301">
        <v>1318124.6000000001</v>
      </c>
      <c r="J35" s="301">
        <v>73297.919999999998</v>
      </c>
      <c r="K35" s="248">
        <v>74536.08</v>
      </c>
      <c r="L35" s="358" t="s">
        <v>721</v>
      </c>
      <c r="M35" s="620">
        <v>42627</v>
      </c>
    </row>
    <row r="36" spans="1:13" s="359" customFormat="1" outlineLevel="1" x14ac:dyDescent="0.25">
      <c r="A36" s="260"/>
      <c r="B36" s="261" t="s">
        <v>65</v>
      </c>
      <c r="C36" s="245">
        <v>244714.3</v>
      </c>
      <c r="D36" s="300">
        <f t="shared" si="3"/>
        <v>244714.3</v>
      </c>
      <c r="E36" s="301">
        <v>220036.18511260004</v>
      </c>
      <c r="F36" s="301">
        <v>12235.713000000002</v>
      </c>
      <c r="G36" s="248">
        <v>12442.401887399972</v>
      </c>
      <c r="H36" s="300">
        <f t="shared" si="4"/>
        <v>244714.3</v>
      </c>
      <c r="I36" s="301">
        <v>220036.19</v>
      </c>
      <c r="J36" s="301">
        <v>12235.71</v>
      </c>
      <c r="K36" s="248">
        <v>12442.4</v>
      </c>
      <c r="L36" s="358" t="s">
        <v>721</v>
      </c>
      <c r="M36" s="620">
        <v>42608</v>
      </c>
    </row>
    <row r="37" spans="1:13" s="359" customFormat="1" outlineLevel="1" x14ac:dyDescent="0.25">
      <c r="A37" s="260"/>
      <c r="B37" s="261" t="s">
        <v>67</v>
      </c>
      <c r="C37" s="245">
        <v>97930.559999999998</v>
      </c>
      <c r="D37" s="300">
        <f t="shared" si="3"/>
        <v>97930.559999999998</v>
      </c>
      <c r="E37" s="301">
        <f>C37*0.7356</f>
        <v>72037.719936000009</v>
      </c>
      <c r="F37" s="301">
        <f>C37*0.05</f>
        <v>4896.5280000000002</v>
      </c>
      <c r="G37" s="248">
        <f>C37-E37-F37</f>
        <v>20996.312063999991</v>
      </c>
      <c r="H37" s="300">
        <f>I37+J37+K37</f>
        <v>97930.559999999998</v>
      </c>
      <c r="I37" s="301">
        <v>72037.72</v>
      </c>
      <c r="J37" s="301">
        <v>4896.53</v>
      </c>
      <c r="K37" s="248">
        <v>20996.31</v>
      </c>
      <c r="L37" s="358" t="s">
        <v>645</v>
      </c>
    </row>
    <row r="38" spans="1:13" s="54" customFormat="1" ht="30.75" customHeight="1" x14ac:dyDescent="0.25">
      <c r="A38" s="391">
        <v>10</v>
      </c>
      <c r="B38" s="392" t="s">
        <v>106</v>
      </c>
      <c r="C38" s="287">
        <f>SUM(C39:C40)</f>
        <v>6268375.3499999996</v>
      </c>
      <c r="D38" s="393">
        <f t="shared" si="3"/>
        <v>6268375.3499999987</v>
      </c>
      <c r="E38" s="401">
        <f>SUM(E39:E40)</f>
        <v>5343225.8281214992</v>
      </c>
      <c r="F38" s="401">
        <f>SUM(F39:F40)</f>
        <v>313418.76399999997</v>
      </c>
      <c r="G38" s="402">
        <f>SUM(G39:G40)</f>
        <v>611730.75787849992</v>
      </c>
      <c r="H38" s="393">
        <f t="shared" si="4"/>
        <v>6268375.3499999996</v>
      </c>
      <c r="I38" s="401">
        <f>SUM(I39:I40)</f>
        <v>5343225.8299999991</v>
      </c>
      <c r="J38" s="401">
        <f>SUM(J39:J40)</f>
        <v>313418.77</v>
      </c>
      <c r="K38" s="402">
        <f>SUM(K39:K40)</f>
        <v>611730.75</v>
      </c>
      <c r="L38" s="406"/>
      <c r="M38" s="403"/>
    </row>
    <row r="39" spans="1:13" outlineLevel="1" x14ac:dyDescent="0.25">
      <c r="A39" s="260"/>
      <c r="B39" s="261" t="s">
        <v>555</v>
      </c>
      <c r="C39" s="245">
        <v>6186616.2199999997</v>
      </c>
      <c r="D39" s="300">
        <f t="shared" si="3"/>
        <v>6186616.2199999988</v>
      </c>
      <c r="E39" s="301">
        <v>5283083.8120934991</v>
      </c>
      <c r="F39" s="301">
        <v>309330.8075</v>
      </c>
      <c r="G39" s="248">
        <v>594201.60040649993</v>
      </c>
      <c r="H39" s="300">
        <f t="shared" si="4"/>
        <v>6186616.2199999988</v>
      </c>
      <c r="I39" s="301">
        <v>5283083.8099999996</v>
      </c>
      <c r="J39" s="301">
        <v>309330.81</v>
      </c>
      <c r="K39" s="248">
        <v>594201.59999999998</v>
      </c>
      <c r="L39" s="358" t="s">
        <v>721</v>
      </c>
      <c r="M39" s="620">
        <v>42634</v>
      </c>
    </row>
    <row r="40" spans="1:13" s="359" customFormat="1" outlineLevel="1" x14ac:dyDescent="0.25">
      <c r="A40" s="260"/>
      <c r="B40" s="261" t="s">
        <v>67</v>
      </c>
      <c r="C40" s="245">
        <v>81759.13</v>
      </c>
      <c r="D40" s="300">
        <f>E40+F40+G40</f>
        <v>81759.13</v>
      </c>
      <c r="E40" s="301">
        <f>C40*0.7356</f>
        <v>60142.016028000005</v>
      </c>
      <c r="F40" s="301">
        <f>C40*0.05</f>
        <v>4087.9565000000002</v>
      </c>
      <c r="G40" s="248">
        <f>C40-E40-F40</f>
        <v>17529.157471999999</v>
      </c>
      <c r="H40" s="300">
        <f>I40+J40+K40</f>
        <v>81759.13</v>
      </c>
      <c r="I40" s="301">
        <v>60142.02</v>
      </c>
      <c r="J40" s="301">
        <v>4087.96</v>
      </c>
      <c r="K40" s="248">
        <v>17529.150000000001</v>
      </c>
      <c r="L40" s="358" t="s">
        <v>659</v>
      </c>
    </row>
    <row r="41" spans="1:13" s="54" customFormat="1" ht="33" customHeight="1" x14ac:dyDescent="0.25">
      <c r="A41" s="391">
        <v>11</v>
      </c>
      <c r="B41" s="392" t="s">
        <v>107</v>
      </c>
      <c r="C41" s="287">
        <f>SUM(C42:C43)</f>
        <v>2285585.52</v>
      </c>
      <c r="D41" s="393">
        <f t="shared" si="3"/>
        <v>2285585.52</v>
      </c>
      <c r="E41" s="401">
        <f>SUM(E42:E43)</f>
        <v>1681276.7085120003</v>
      </c>
      <c r="F41" s="401">
        <f>SUM(F42:F43)</f>
        <v>114279.276</v>
      </c>
      <c r="G41" s="402">
        <f>SUM(G42:G43)</f>
        <v>490029.53548799985</v>
      </c>
      <c r="H41" s="393">
        <f t="shared" si="4"/>
        <v>2285585.52</v>
      </c>
      <c r="I41" s="401">
        <f>SUM(I42:I43)</f>
        <v>1681276.7100000002</v>
      </c>
      <c r="J41" s="401">
        <f>SUM(J42:J43)</f>
        <v>114279.26999999999</v>
      </c>
      <c r="K41" s="402">
        <f>SUM(K42:K43)</f>
        <v>490029.54</v>
      </c>
      <c r="L41" s="406"/>
      <c r="M41" s="403"/>
    </row>
    <row r="42" spans="1:13" s="359" customFormat="1" outlineLevel="1" x14ac:dyDescent="0.25">
      <c r="A42" s="260"/>
      <c r="B42" s="261" t="s">
        <v>555</v>
      </c>
      <c r="C42" s="245">
        <v>2214377.5</v>
      </c>
      <c r="D42" s="300">
        <f t="shared" si="3"/>
        <v>2214377.5</v>
      </c>
      <c r="E42" s="301">
        <f>C42*0.7356</f>
        <v>1628896.0890000002</v>
      </c>
      <c r="F42" s="301">
        <f>C42*0.05</f>
        <v>110718.875</v>
      </c>
      <c r="G42" s="248">
        <f>C42-E42-F42</f>
        <v>474762.53599999985</v>
      </c>
      <c r="H42" s="300">
        <f t="shared" si="4"/>
        <v>2214377.5</v>
      </c>
      <c r="I42" s="301">
        <v>1628896.09</v>
      </c>
      <c r="J42" s="301">
        <v>110718.87</v>
      </c>
      <c r="K42" s="248">
        <v>474762.54</v>
      </c>
      <c r="L42" s="358" t="s">
        <v>721</v>
      </c>
    </row>
    <row r="43" spans="1:13" s="359" customFormat="1" outlineLevel="1" x14ac:dyDescent="0.25">
      <c r="A43" s="260"/>
      <c r="B43" s="261" t="s">
        <v>67</v>
      </c>
      <c r="C43" s="245">
        <v>71208.02</v>
      </c>
      <c r="D43" s="300">
        <f>E43+F43+G43</f>
        <v>71208.02</v>
      </c>
      <c r="E43" s="301">
        <f>C43*0.7356</f>
        <v>52380.619512000005</v>
      </c>
      <c r="F43" s="301">
        <f>C43*0.05</f>
        <v>3560.4010000000003</v>
      </c>
      <c r="G43" s="248">
        <f>C43-E43-F43</f>
        <v>15266.999487999999</v>
      </c>
      <c r="H43" s="300">
        <f>I43+J43+K43</f>
        <v>71208.02</v>
      </c>
      <c r="I43" s="301">
        <v>52380.62</v>
      </c>
      <c r="J43" s="301">
        <v>3560.4</v>
      </c>
      <c r="K43" s="248">
        <v>15267</v>
      </c>
      <c r="L43" s="358" t="s">
        <v>659</v>
      </c>
    </row>
    <row r="44" spans="1:13" s="403" customFormat="1" ht="27.75" customHeight="1" x14ac:dyDescent="0.25">
      <c r="A44" s="391">
        <v>12</v>
      </c>
      <c r="B44" s="392" t="s">
        <v>69</v>
      </c>
      <c r="C44" s="287">
        <f>SUM(C45:C46)</f>
        <v>2724330.38</v>
      </c>
      <c r="D44" s="393">
        <f t="shared" si="3"/>
        <v>2724330.38</v>
      </c>
      <c r="E44" s="401">
        <f>SUM(E45:E46)</f>
        <v>1829162.8723088484</v>
      </c>
      <c r="F44" s="401">
        <f>SUM(F45:F46)</f>
        <v>136216.519</v>
      </c>
      <c r="G44" s="402">
        <f>SUM(G45:G46)</f>
        <v>758950.98869115161</v>
      </c>
      <c r="H44" s="393">
        <f t="shared" si="4"/>
        <v>2724330.38</v>
      </c>
      <c r="I44" s="401">
        <f>SUM(I45:I46)</f>
        <v>1829162.87</v>
      </c>
      <c r="J44" s="401">
        <f>SUM(J45:J46)</f>
        <v>136216.51999999999</v>
      </c>
      <c r="K44" s="402">
        <f>SUM(K45:K46)</f>
        <v>758950.99</v>
      </c>
      <c r="L44" s="406"/>
    </row>
    <row r="45" spans="1:13" s="359" customFormat="1" outlineLevel="1" x14ac:dyDescent="0.25">
      <c r="A45" s="260"/>
      <c r="B45" s="261" t="s">
        <v>555</v>
      </c>
      <c r="C45" s="245">
        <v>2653612.11</v>
      </c>
      <c r="D45" s="300">
        <f t="shared" si="3"/>
        <v>2653612.1100000003</v>
      </c>
      <c r="E45" s="301">
        <v>1777142.5128968484</v>
      </c>
      <c r="F45" s="301">
        <v>132680.60550000001</v>
      </c>
      <c r="G45" s="248">
        <v>743788.99160315166</v>
      </c>
      <c r="H45" s="300">
        <f t="shared" si="4"/>
        <v>2653612.1100000003</v>
      </c>
      <c r="I45" s="301">
        <v>1777142.51</v>
      </c>
      <c r="J45" s="301">
        <v>132680.60999999999</v>
      </c>
      <c r="K45" s="248">
        <v>743788.99</v>
      </c>
      <c r="L45" s="358" t="s">
        <v>720</v>
      </c>
      <c r="M45" s="620">
        <v>42608</v>
      </c>
    </row>
    <row r="46" spans="1:13" s="359" customFormat="1" outlineLevel="1" x14ac:dyDescent="0.25">
      <c r="A46" s="260"/>
      <c r="B46" s="261" t="s">
        <v>67</v>
      </c>
      <c r="C46" s="245">
        <v>70718.27</v>
      </c>
      <c r="D46" s="300">
        <f>E46+F46+G46</f>
        <v>70718.27</v>
      </c>
      <c r="E46" s="301">
        <f>C46*0.7356</f>
        <v>52020.359412000005</v>
      </c>
      <c r="F46" s="301">
        <f>C46*0.05</f>
        <v>3535.9135000000006</v>
      </c>
      <c r="G46" s="248">
        <f>C46-E46-F46</f>
        <v>15161.997087999998</v>
      </c>
      <c r="H46" s="300">
        <f>I46+J46+K46</f>
        <v>70718.27</v>
      </c>
      <c r="I46" s="301">
        <v>52020.36</v>
      </c>
      <c r="J46" s="301">
        <v>3535.91</v>
      </c>
      <c r="K46" s="248">
        <v>15162</v>
      </c>
      <c r="L46" s="358" t="s">
        <v>659</v>
      </c>
    </row>
    <row r="47" spans="1:13" s="403" customFormat="1" ht="36.75" customHeight="1" x14ac:dyDescent="0.25">
      <c r="A47" s="391">
        <v>13</v>
      </c>
      <c r="B47" s="392" t="s">
        <v>108</v>
      </c>
      <c r="C47" s="287">
        <f>SUM(C48:C49)</f>
        <v>4524609.21</v>
      </c>
      <c r="D47" s="393">
        <f t="shared" si="3"/>
        <v>4524609.21</v>
      </c>
      <c r="E47" s="401">
        <f>SUM(E48:E49)</f>
        <v>3328302.5348760001</v>
      </c>
      <c r="F47" s="401">
        <f>SUM(F48:F49)</f>
        <v>226230.46049999999</v>
      </c>
      <c r="G47" s="402">
        <f>SUM(G48:G49)</f>
        <v>970076.21462399967</v>
      </c>
      <c r="H47" s="393">
        <f t="shared" si="4"/>
        <v>4524609.21</v>
      </c>
      <c r="I47" s="401">
        <f>SUM(I48:I49)</f>
        <v>3328302.54</v>
      </c>
      <c r="J47" s="401">
        <f>SUM(J48:J49)</f>
        <v>226230.46000000002</v>
      </c>
      <c r="K47" s="402">
        <f>SUM(K48:K49)</f>
        <v>970076.21000000008</v>
      </c>
      <c r="L47" s="406"/>
    </row>
    <row r="48" spans="1:13" s="359" customFormat="1" outlineLevel="1" x14ac:dyDescent="0.25">
      <c r="A48" s="260"/>
      <c r="B48" s="261" t="s">
        <v>555</v>
      </c>
      <c r="C48" s="245">
        <v>4464851.43</v>
      </c>
      <c r="D48" s="300">
        <f>E48+F48+G48</f>
        <v>4464851.43</v>
      </c>
      <c r="E48" s="301">
        <f>C48*0.7356</f>
        <v>3284344.7119080001</v>
      </c>
      <c r="F48" s="301">
        <f>C48*0.05</f>
        <v>223242.57149999999</v>
      </c>
      <c r="G48" s="248">
        <f>C48-E48-F48</f>
        <v>957264.14659199968</v>
      </c>
      <c r="H48" s="300">
        <f t="shared" si="4"/>
        <v>4464851.43</v>
      </c>
      <c r="I48" s="301">
        <v>3284344.71</v>
      </c>
      <c r="J48" s="301">
        <v>223242.57</v>
      </c>
      <c r="K48" s="248">
        <v>957264.15</v>
      </c>
      <c r="L48" s="358" t="s">
        <v>720</v>
      </c>
    </row>
    <row r="49" spans="1:13" s="359" customFormat="1" outlineLevel="1" x14ac:dyDescent="0.25">
      <c r="A49" s="260"/>
      <c r="B49" s="261" t="s">
        <v>67</v>
      </c>
      <c r="C49" s="245">
        <v>59757.78</v>
      </c>
      <c r="D49" s="300">
        <f>E49+F49+G49</f>
        <v>59757.78</v>
      </c>
      <c r="E49" s="301">
        <f>C49*0.7356</f>
        <v>43957.822968</v>
      </c>
      <c r="F49" s="301">
        <f>C49*0.05</f>
        <v>2987.8890000000001</v>
      </c>
      <c r="G49" s="248">
        <f>C49-E49-F49</f>
        <v>12812.068031999999</v>
      </c>
      <c r="H49" s="300">
        <f>I49+J49+K49</f>
        <v>59757.78</v>
      </c>
      <c r="I49" s="301">
        <v>43957.83</v>
      </c>
      <c r="J49" s="301">
        <v>2987.89</v>
      </c>
      <c r="K49" s="248">
        <v>12812.06</v>
      </c>
      <c r="L49" s="358" t="s">
        <v>659</v>
      </c>
    </row>
    <row r="50" spans="1:13" s="54" customFormat="1" ht="29.25" customHeight="1" x14ac:dyDescent="0.25">
      <c r="A50" s="209">
        <v>14</v>
      </c>
      <c r="B50" s="60" t="s">
        <v>97</v>
      </c>
      <c r="C50" s="58">
        <f>SUM(C51:C52)</f>
        <v>94398.18</v>
      </c>
      <c r="D50" s="13">
        <f t="shared" si="3"/>
        <v>94398.18</v>
      </c>
      <c r="E50" s="44">
        <f>SUM(E51:E52)</f>
        <v>69439.301208000004</v>
      </c>
      <c r="F50" s="44">
        <f>SUM(F51:F52)</f>
        <v>4719.9089999999997</v>
      </c>
      <c r="G50" s="297">
        <f>SUM(G51:G52)</f>
        <v>20238.969791999989</v>
      </c>
      <c r="H50" s="13">
        <f t="shared" si="4"/>
        <v>94398.180000000008</v>
      </c>
      <c r="I50" s="44">
        <f>SUM(I51:I52)</f>
        <v>69439.3</v>
      </c>
      <c r="J50" s="44">
        <f>SUM(J51:J52)</f>
        <v>4719.91</v>
      </c>
      <c r="K50" s="297">
        <f>SUM(K51:K52)</f>
        <v>20238.97</v>
      </c>
      <c r="L50" s="141"/>
    </row>
    <row r="51" spans="1:13" outlineLevel="1" x14ac:dyDescent="0.25">
      <c r="A51" s="10"/>
      <c r="B51" s="43" t="s">
        <v>557</v>
      </c>
      <c r="C51" s="59"/>
      <c r="D51" s="29">
        <f t="shared" si="3"/>
        <v>0</v>
      </c>
      <c r="E51" s="12"/>
      <c r="F51" s="12"/>
      <c r="G51" s="16"/>
      <c r="H51" s="29">
        <f t="shared" si="4"/>
        <v>0</v>
      </c>
      <c r="I51" s="12"/>
      <c r="J51" s="12"/>
      <c r="K51" s="16"/>
      <c r="L51" s="124"/>
    </row>
    <row r="52" spans="1:13" s="359" customFormat="1" outlineLevel="1" x14ac:dyDescent="0.25">
      <c r="A52" s="260"/>
      <c r="B52" s="261" t="s">
        <v>67</v>
      </c>
      <c r="C52" s="245">
        <v>94398.18</v>
      </c>
      <c r="D52" s="300">
        <f t="shared" si="3"/>
        <v>94398.18</v>
      </c>
      <c r="E52" s="301">
        <f>C52*0.7356</f>
        <v>69439.301208000004</v>
      </c>
      <c r="F52" s="301">
        <f>C52*0.05</f>
        <v>4719.9089999999997</v>
      </c>
      <c r="G52" s="248">
        <f>C52-E52-F52</f>
        <v>20238.969791999989</v>
      </c>
      <c r="H52" s="300">
        <f>I52+J52+K52</f>
        <v>94398.180000000008</v>
      </c>
      <c r="I52" s="301">
        <v>69439.3</v>
      </c>
      <c r="J52" s="301">
        <v>4719.91</v>
      </c>
      <c r="K52" s="248">
        <v>20238.97</v>
      </c>
      <c r="L52" s="358" t="s">
        <v>645</v>
      </c>
    </row>
    <row r="53" spans="1:13" s="403" customFormat="1" ht="35.25" customHeight="1" x14ac:dyDescent="0.25">
      <c r="A53" s="391">
        <v>15</v>
      </c>
      <c r="B53" s="392" t="s">
        <v>109</v>
      </c>
      <c r="C53" s="287">
        <f>SUM(C54:C55)</f>
        <v>3816664.9</v>
      </c>
      <c r="D53" s="393">
        <f>E53+F53+G53</f>
        <v>3816664.9000000004</v>
      </c>
      <c r="E53" s="401">
        <f>SUM(E54:E55)</f>
        <v>2560409.6473650001</v>
      </c>
      <c r="F53" s="401">
        <f>SUM(F54:F55)</f>
        <v>190833.24500000002</v>
      </c>
      <c r="G53" s="402">
        <f>SUM(G54:G55)</f>
        <v>1065422.0076350004</v>
      </c>
      <c r="H53" s="393">
        <f>SUM(I53:K53)</f>
        <v>3816664.9000000004</v>
      </c>
      <c r="I53" s="401">
        <f>SUM(I54:I55)</f>
        <v>2560409.65</v>
      </c>
      <c r="J53" s="401">
        <f>SUM(J54:J55)</f>
        <v>190833.24000000002</v>
      </c>
      <c r="K53" s="402">
        <f>SUM(K54:K55)</f>
        <v>1065422.01</v>
      </c>
      <c r="L53" s="406"/>
    </row>
    <row r="54" spans="1:13" s="359" customFormat="1" outlineLevel="1" x14ac:dyDescent="0.25">
      <c r="A54" s="260"/>
      <c r="B54" s="261" t="s">
        <v>555</v>
      </c>
      <c r="C54" s="245">
        <v>3750457.9</v>
      </c>
      <c r="D54" s="300">
        <f t="shared" si="3"/>
        <v>3750457.9000000004</v>
      </c>
      <c r="E54" s="301">
        <v>2511707.778165</v>
      </c>
      <c r="F54" s="301">
        <v>187522.89500000002</v>
      </c>
      <c r="G54" s="248">
        <v>1051227.2268350003</v>
      </c>
      <c r="H54" s="300">
        <f t="shared" si="4"/>
        <v>3750457.9</v>
      </c>
      <c r="I54" s="301">
        <v>2511707.7799999998</v>
      </c>
      <c r="J54" s="301">
        <v>187522.89</v>
      </c>
      <c r="K54" s="248">
        <v>1051227.23</v>
      </c>
      <c r="L54" s="644" t="s">
        <v>720</v>
      </c>
      <c r="M54" s="620">
        <v>42619</v>
      </c>
    </row>
    <row r="55" spans="1:13" s="359" customFormat="1" outlineLevel="1" x14ac:dyDescent="0.25">
      <c r="A55" s="260"/>
      <c r="B55" s="261" t="s">
        <v>67</v>
      </c>
      <c r="C55" s="245">
        <v>66207</v>
      </c>
      <c r="D55" s="300">
        <f>E55+F55+G55</f>
        <v>66207</v>
      </c>
      <c r="E55" s="301">
        <f>C55*0.7356</f>
        <v>48701.869200000001</v>
      </c>
      <c r="F55" s="301">
        <f>C55*0.05</f>
        <v>3310.3500000000004</v>
      </c>
      <c r="G55" s="248">
        <f>C55-E55-F55</f>
        <v>14194.780799999999</v>
      </c>
      <c r="H55" s="300">
        <f>I55+J55+K55</f>
        <v>66207</v>
      </c>
      <c r="I55" s="301">
        <v>48701.87</v>
      </c>
      <c r="J55" s="301">
        <v>3310.3500000000004</v>
      </c>
      <c r="K55" s="248">
        <v>14194.78</v>
      </c>
      <c r="L55" s="358" t="s">
        <v>659</v>
      </c>
    </row>
    <row r="56" spans="1:13" s="54" customFormat="1" ht="30.75" customHeight="1" x14ac:dyDescent="0.25">
      <c r="A56" s="209">
        <v>16</v>
      </c>
      <c r="B56" s="60" t="s">
        <v>98</v>
      </c>
      <c r="C56" s="58">
        <f>SUM(C57:C58)</f>
        <v>77376.399999999994</v>
      </c>
      <c r="D56" s="13">
        <f>E56+F56+G56</f>
        <v>77376.399999999994</v>
      </c>
      <c r="E56" s="44">
        <f>SUM(E57:E58)</f>
        <v>56918.079839999999</v>
      </c>
      <c r="F56" s="44">
        <f>SUM(F57:F58)</f>
        <v>3868.8199999999997</v>
      </c>
      <c r="G56" s="297">
        <f>SUM(G57:G58)</f>
        <v>16589.500159999996</v>
      </c>
      <c r="H56" s="13">
        <f>SUM(I56:K56)</f>
        <v>77376.399999999994</v>
      </c>
      <c r="I56" s="44">
        <f>SUM(I57:I58)</f>
        <v>56918.080000000002</v>
      </c>
      <c r="J56" s="44">
        <f>SUM(J57:J58)</f>
        <v>3868.82</v>
      </c>
      <c r="K56" s="297">
        <f>SUM(K57:K58)</f>
        <v>16589.5</v>
      </c>
      <c r="L56" s="141"/>
    </row>
    <row r="57" spans="1:13" outlineLevel="1" x14ac:dyDescent="0.25">
      <c r="A57" s="10"/>
      <c r="B57" s="43" t="s">
        <v>557</v>
      </c>
      <c r="C57" s="59"/>
      <c r="D57" s="29">
        <f t="shared" si="3"/>
        <v>0</v>
      </c>
      <c r="E57" s="12"/>
      <c r="F57" s="12"/>
      <c r="G57" s="16"/>
      <c r="H57" s="29">
        <f t="shared" si="4"/>
        <v>0</v>
      </c>
      <c r="I57" s="12"/>
      <c r="J57" s="12"/>
      <c r="K57" s="16"/>
      <c r="L57" s="124"/>
    </row>
    <row r="58" spans="1:13" s="359" customFormat="1" outlineLevel="1" x14ac:dyDescent="0.25">
      <c r="A58" s="260"/>
      <c r="B58" s="261" t="s">
        <v>67</v>
      </c>
      <c r="C58" s="245">
        <v>77376.399999999994</v>
      </c>
      <c r="D58" s="300">
        <f t="shared" si="3"/>
        <v>77376.399999999994</v>
      </c>
      <c r="E58" s="301">
        <f>C58*0.7356</f>
        <v>56918.079839999999</v>
      </c>
      <c r="F58" s="301">
        <f>C58*0.05</f>
        <v>3868.8199999999997</v>
      </c>
      <c r="G58" s="248">
        <f>C58-E58-F58</f>
        <v>16589.500159999996</v>
      </c>
      <c r="H58" s="300">
        <f>I58+J58+K58</f>
        <v>77376.399999999994</v>
      </c>
      <c r="I58" s="301">
        <v>56918.080000000002</v>
      </c>
      <c r="J58" s="301">
        <v>3868.82</v>
      </c>
      <c r="K58" s="248">
        <v>16589.5</v>
      </c>
      <c r="L58" s="358" t="s">
        <v>645</v>
      </c>
    </row>
    <row r="59" spans="1:13" s="403" customFormat="1" ht="29.25" customHeight="1" x14ac:dyDescent="0.25">
      <c r="A59" s="391">
        <v>17</v>
      </c>
      <c r="B59" s="392" t="s">
        <v>551</v>
      </c>
      <c r="C59" s="287">
        <f>SUM(C60:C61)</f>
        <v>3168402.0500000003</v>
      </c>
      <c r="D59" s="393">
        <f>E59+F59+G59</f>
        <v>3168402.0500000003</v>
      </c>
      <c r="E59" s="401">
        <f>SUM(E60:E61)</f>
        <v>2330676.5479800003</v>
      </c>
      <c r="F59" s="401">
        <f>SUM(F60:F61)</f>
        <v>158420.10250000001</v>
      </c>
      <c r="G59" s="402">
        <f>SUM(G60:G61)</f>
        <v>679305.39951999986</v>
      </c>
      <c r="H59" s="393">
        <f>SUM(I59:K59)</f>
        <v>3168402.05</v>
      </c>
      <c r="I59" s="401">
        <f>SUM(I60:I61)</f>
        <v>2330676.5499999998</v>
      </c>
      <c r="J59" s="401">
        <f>SUM(J60:J61)</f>
        <v>158420.1</v>
      </c>
      <c r="K59" s="402">
        <f>SUM(K60:K61)</f>
        <v>679305.4</v>
      </c>
      <c r="L59" s="406"/>
    </row>
    <row r="60" spans="1:13" s="359" customFormat="1" outlineLevel="1" x14ac:dyDescent="0.25">
      <c r="A60" s="260"/>
      <c r="B60" s="261" t="s">
        <v>555</v>
      </c>
      <c r="C60" s="245">
        <v>3066431.16</v>
      </c>
      <c r="D60" s="300">
        <f t="shared" ref="D60" si="5">E60+F60+G60</f>
        <v>3066431.16</v>
      </c>
      <c r="E60" s="301">
        <f>C60*0.7356</f>
        <v>2255666.7612960003</v>
      </c>
      <c r="F60" s="301">
        <f>C60*0.05</f>
        <v>153321.55800000002</v>
      </c>
      <c r="G60" s="248">
        <f>C60-E60-F60</f>
        <v>657442.84070399986</v>
      </c>
      <c r="H60" s="300">
        <f t="shared" si="4"/>
        <v>3066431.1599999997</v>
      </c>
      <c r="I60" s="301">
        <v>2255666.7599999998</v>
      </c>
      <c r="J60" s="301">
        <v>153321.56</v>
      </c>
      <c r="K60" s="248">
        <v>657442.84</v>
      </c>
      <c r="L60" s="358" t="s">
        <v>672</v>
      </c>
    </row>
    <row r="61" spans="1:13" s="359" customFormat="1" outlineLevel="1" x14ac:dyDescent="0.25">
      <c r="A61" s="260"/>
      <c r="B61" s="261" t="s">
        <v>67</v>
      </c>
      <c r="C61" s="245">
        <v>101970.89</v>
      </c>
      <c r="D61" s="300">
        <f t="shared" si="3"/>
        <v>101970.89</v>
      </c>
      <c r="E61" s="301">
        <f>C61*0.7356</f>
        <v>75009.786684000006</v>
      </c>
      <c r="F61" s="301">
        <f>C61*0.05</f>
        <v>5098.5445</v>
      </c>
      <c r="G61" s="248">
        <f>C61-E61-F61</f>
        <v>21862.558815999993</v>
      </c>
      <c r="H61" s="300">
        <f t="shared" si="4"/>
        <v>101970.88999999998</v>
      </c>
      <c r="I61" s="301">
        <v>75009.789999999994</v>
      </c>
      <c r="J61" s="301">
        <v>5098.54</v>
      </c>
      <c r="K61" s="248">
        <v>21862.560000000001</v>
      </c>
      <c r="L61" s="358" t="s">
        <v>645</v>
      </c>
    </row>
    <row r="62" spans="1:13" s="403" customFormat="1" ht="30.75" customHeight="1" x14ac:dyDescent="0.25">
      <c r="A62" s="391">
        <v>18</v>
      </c>
      <c r="B62" s="392" t="s">
        <v>552</v>
      </c>
      <c r="C62" s="287">
        <f>SUM(C63:C64)</f>
        <v>3260373.08</v>
      </c>
      <c r="D62" s="393">
        <f t="shared" si="3"/>
        <v>3260373.08</v>
      </c>
      <c r="E62" s="401">
        <f>SUM(E63:E64)</f>
        <v>2398330.4376480002</v>
      </c>
      <c r="F62" s="401">
        <f>SUM(F63:F64)</f>
        <v>163018.65400000001</v>
      </c>
      <c r="G62" s="402">
        <f>SUM(G63:G64)</f>
        <v>699023.98835199967</v>
      </c>
      <c r="H62" s="393">
        <f t="shared" si="4"/>
        <v>3260373.08</v>
      </c>
      <c r="I62" s="401">
        <f>SUM(I63:I64)</f>
        <v>2398330.44</v>
      </c>
      <c r="J62" s="401">
        <f>SUM(J63:J64)</f>
        <v>163018.65</v>
      </c>
      <c r="K62" s="402">
        <f>SUM(K63:K64)</f>
        <v>699023.99000000011</v>
      </c>
      <c r="L62" s="406"/>
    </row>
    <row r="63" spans="1:13" s="359" customFormat="1" outlineLevel="1" x14ac:dyDescent="0.25">
      <c r="A63" s="260"/>
      <c r="B63" s="261" t="s">
        <v>555</v>
      </c>
      <c r="C63" s="245">
        <v>3158402.19</v>
      </c>
      <c r="D63" s="300">
        <f t="shared" ref="D63" si="6">E63+F63+G63</f>
        <v>3158402.1900000004</v>
      </c>
      <c r="E63" s="301">
        <f>C63*0.7356</f>
        <v>2323320.6509640003</v>
      </c>
      <c r="F63" s="301">
        <f>C63*0.05</f>
        <v>157920.10950000002</v>
      </c>
      <c r="G63" s="248">
        <f>C63-E63-F63</f>
        <v>677161.42953599966</v>
      </c>
      <c r="H63" s="300">
        <f t="shared" si="4"/>
        <v>3158402.19</v>
      </c>
      <c r="I63" s="301">
        <v>2323320.65</v>
      </c>
      <c r="J63" s="301">
        <v>157920.10999999999</v>
      </c>
      <c r="K63" s="248">
        <v>677161.43</v>
      </c>
      <c r="L63" s="358" t="s">
        <v>672</v>
      </c>
    </row>
    <row r="64" spans="1:13" s="359" customFormat="1" outlineLevel="1" x14ac:dyDescent="0.25">
      <c r="A64" s="260"/>
      <c r="B64" s="261" t="s">
        <v>67</v>
      </c>
      <c r="C64" s="245">
        <v>101970.89</v>
      </c>
      <c r="D64" s="300">
        <f t="shared" si="3"/>
        <v>101970.89</v>
      </c>
      <c r="E64" s="301">
        <f>C64*0.7356</f>
        <v>75009.786684000006</v>
      </c>
      <c r="F64" s="301">
        <f>C64*0.05</f>
        <v>5098.5445</v>
      </c>
      <c r="G64" s="248">
        <f>C64-E64-F64</f>
        <v>21862.558815999993</v>
      </c>
      <c r="H64" s="300">
        <f t="shared" si="4"/>
        <v>101970.88999999998</v>
      </c>
      <c r="I64" s="301">
        <v>75009.789999999994</v>
      </c>
      <c r="J64" s="301">
        <v>5098.54</v>
      </c>
      <c r="K64" s="248">
        <v>21862.560000000001</v>
      </c>
      <c r="L64" s="358" t="s">
        <v>645</v>
      </c>
    </row>
    <row r="65" spans="1:13" s="403" customFormat="1" ht="36.75" customHeight="1" x14ac:dyDescent="0.25">
      <c r="A65" s="391">
        <v>19</v>
      </c>
      <c r="B65" s="392" t="s">
        <v>110</v>
      </c>
      <c r="C65" s="287">
        <f>SUM(C66:C67)</f>
        <v>4142824.59</v>
      </c>
      <c r="D65" s="393">
        <f>E65+F65+G65</f>
        <v>4142824.59</v>
      </c>
      <c r="E65" s="401">
        <f>SUM(E66:E67)</f>
        <v>2775197.1376890368</v>
      </c>
      <c r="F65" s="401">
        <f>SUM(F66:F67)</f>
        <v>207141.2320819537</v>
      </c>
      <c r="G65" s="402">
        <f>SUM(G66:G67)</f>
        <v>1160486.2202290094</v>
      </c>
      <c r="H65" s="393">
        <f>SUM(I65:K65)</f>
        <v>4142824.5900000003</v>
      </c>
      <c r="I65" s="401">
        <f>SUM(I66:I67)</f>
        <v>2775197.14</v>
      </c>
      <c r="J65" s="401">
        <f>SUM(J66:J67)</f>
        <v>207141.22999999998</v>
      </c>
      <c r="K65" s="402">
        <f>SUM(K66:K67)</f>
        <v>1160486.2200000002</v>
      </c>
      <c r="L65" s="406"/>
    </row>
    <row r="66" spans="1:13" s="359" customFormat="1" outlineLevel="1" x14ac:dyDescent="0.25">
      <c r="A66" s="260"/>
      <c r="B66" s="261" t="s">
        <v>555</v>
      </c>
      <c r="C66" s="245">
        <v>4077258.54</v>
      </c>
      <c r="D66" s="300">
        <f t="shared" si="3"/>
        <v>4077258.54</v>
      </c>
      <c r="E66" s="301">
        <v>2726966.7513090367</v>
      </c>
      <c r="F66" s="301">
        <v>203862.92958195371</v>
      </c>
      <c r="G66" s="248">
        <v>1146428.8591090094</v>
      </c>
      <c r="H66" s="300">
        <f t="shared" si="4"/>
        <v>4077258.54</v>
      </c>
      <c r="I66" s="301">
        <v>2726966.75</v>
      </c>
      <c r="J66" s="301">
        <v>203862.93</v>
      </c>
      <c r="K66" s="248">
        <v>1146428.8600000001</v>
      </c>
      <c r="L66" s="644" t="s">
        <v>720</v>
      </c>
      <c r="M66" s="620">
        <v>42639</v>
      </c>
    </row>
    <row r="67" spans="1:13" s="359" customFormat="1" outlineLevel="1" x14ac:dyDescent="0.25">
      <c r="A67" s="260"/>
      <c r="B67" s="261" t="s">
        <v>67</v>
      </c>
      <c r="C67" s="245">
        <v>65566.05</v>
      </c>
      <c r="D67" s="300">
        <f>E67+F67+G67</f>
        <v>65566.05</v>
      </c>
      <c r="E67" s="301">
        <f>C67*0.7356</f>
        <v>48230.386380000004</v>
      </c>
      <c r="F67" s="301">
        <f>C67*0.05</f>
        <v>3278.3025000000002</v>
      </c>
      <c r="G67" s="248">
        <f>C67-E67-F67</f>
        <v>14057.36112</v>
      </c>
      <c r="H67" s="300">
        <f>I67+J67+K67</f>
        <v>65566.05</v>
      </c>
      <c r="I67" s="301">
        <v>48230.39</v>
      </c>
      <c r="J67" s="301">
        <v>3278.3</v>
      </c>
      <c r="K67" s="248">
        <v>14057.36</v>
      </c>
      <c r="L67" s="358" t="s">
        <v>659</v>
      </c>
    </row>
    <row r="68" spans="1:13" s="403" customFormat="1" ht="33" customHeight="1" x14ac:dyDescent="0.25">
      <c r="A68" s="391">
        <v>20</v>
      </c>
      <c r="B68" s="392" t="s">
        <v>99</v>
      </c>
      <c r="C68" s="287">
        <f>SUM(C69:C70)</f>
        <v>2442835.7000000002</v>
      </c>
      <c r="D68" s="393">
        <f>E68+F68+G68</f>
        <v>2442835.7000000002</v>
      </c>
      <c r="E68" s="401">
        <f>SUM(E69:E70)</f>
        <v>1638776.326533</v>
      </c>
      <c r="F68" s="401">
        <f>SUM(F69:F70)</f>
        <v>122141.78650000002</v>
      </c>
      <c r="G68" s="402">
        <f>SUM(G69:G70)</f>
        <v>681917.58696700016</v>
      </c>
      <c r="H68" s="393">
        <f>SUM(I68:K68)</f>
        <v>2442835.6999999997</v>
      </c>
      <c r="I68" s="401">
        <f>SUM(I69:I70)</f>
        <v>1638776.3299999998</v>
      </c>
      <c r="J68" s="401">
        <f>SUM(J69:J70)</f>
        <v>122141.78</v>
      </c>
      <c r="K68" s="402">
        <f>SUM(K69:K70)</f>
        <v>681917.59</v>
      </c>
      <c r="L68" s="406"/>
    </row>
    <row r="69" spans="1:13" s="359" customFormat="1" outlineLevel="1" x14ac:dyDescent="0.25">
      <c r="A69" s="260"/>
      <c r="B69" s="261" t="s">
        <v>555</v>
      </c>
      <c r="C69" s="245">
        <v>2368705.4700000002</v>
      </c>
      <c r="D69" s="300">
        <f t="shared" ref="D69:D80" si="7">E69+F69+G69</f>
        <v>2368705.4700000002</v>
      </c>
      <c r="E69" s="301">
        <v>1584246.129345</v>
      </c>
      <c r="F69" s="301">
        <v>118435.27500000002</v>
      </c>
      <c r="G69" s="248">
        <v>666024.06565500016</v>
      </c>
      <c r="H69" s="300">
        <f t="shared" si="4"/>
        <v>2368705.4699999997</v>
      </c>
      <c r="I69" s="301">
        <v>1584246.13</v>
      </c>
      <c r="J69" s="301">
        <v>118435.27</v>
      </c>
      <c r="K69" s="248">
        <v>666024.06999999995</v>
      </c>
      <c r="L69" s="358" t="s">
        <v>720</v>
      </c>
      <c r="M69" s="620">
        <v>42577</v>
      </c>
    </row>
    <row r="70" spans="1:13" s="359" customFormat="1" outlineLevel="1" x14ac:dyDescent="0.25">
      <c r="A70" s="260"/>
      <c r="B70" s="261" t="s">
        <v>67</v>
      </c>
      <c r="C70" s="245">
        <v>74130.23</v>
      </c>
      <c r="D70" s="300">
        <f>E70+F70+G70</f>
        <v>74130.23</v>
      </c>
      <c r="E70" s="301">
        <f>C70*0.7356</f>
        <v>54530.197187999998</v>
      </c>
      <c r="F70" s="301">
        <f>C70*0.05</f>
        <v>3706.5115000000001</v>
      </c>
      <c r="G70" s="248">
        <f>C70-E70-F70</f>
        <v>15893.521311999997</v>
      </c>
      <c r="H70" s="300">
        <f>I70+J70+K70</f>
        <v>74130.23</v>
      </c>
      <c r="I70" s="301">
        <v>54530.2</v>
      </c>
      <c r="J70" s="301">
        <v>3706.51</v>
      </c>
      <c r="K70" s="248">
        <v>15893.52</v>
      </c>
      <c r="L70" s="358" t="s">
        <v>659</v>
      </c>
    </row>
    <row r="71" spans="1:13" s="403" customFormat="1" ht="36" customHeight="1" x14ac:dyDescent="0.25">
      <c r="A71" s="391">
        <v>21</v>
      </c>
      <c r="B71" s="392" t="s">
        <v>111</v>
      </c>
      <c r="C71" s="287">
        <f>SUM(C72:C73)</f>
        <v>4196845.7299999995</v>
      </c>
      <c r="D71" s="393">
        <f>E71+F71+G71</f>
        <v>4196845.7299999995</v>
      </c>
      <c r="E71" s="401">
        <f>SUM(E72:E73)</f>
        <v>3087199.7189879999</v>
      </c>
      <c r="F71" s="401">
        <f>SUM(F72:F73)</f>
        <v>209842.28650000002</v>
      </c>
      <c r="G71" s="402">
        <f>SUM(G72:G73)</f>
        <v>899803.72451199999</v>
      </c>
      <c r="H71" s="393">
        <f>SUM(I71:K71)</f>
        <v>4196845.7299999995</v>
      </c>
      <c r="I71" s="401">
        <f>SUM(I72:I73)</f>
        <v>3087199.73</v>
      </c>
      <c r="J71" s="401">
        <f>SUM(J72:J73)</f>
        <v>209842.28</v>
      </c>
      <c r="K71" s="402">
        <f>SUM(K72:K73)</f>
        <v>899803.72</v>
      </c>
      <c r="L71" s="406"/>
    </row>
    <row r="72" spans="1:13" s="359" customFormat="1" outlineLevel="1" x14ac:dyDescent="0.25">
      <c r="A72" s="260"/>
      <c r="B72" s="261" t="s">
        <v>555</v>
      </c>
      <c r="C72" s="245">
        <v>4131671.88</v>
      </c>
      <c r="D72" s="300">
        <f>E72+F72+G72</f>
        <v>4131671.88</v>
      </c>
      <c r="E72" s="301">
        <f>C72*0.7356</f>
        <v>3039257.8349279999</v>
      </c>
      <c r="F72" s="301">
        <f>C72*0.05</f>
        <v>206583.59400000001</v>
      </c>
      <c r="G72" s="248">
        <f>C72-E72-F72</f>
        <v>885830.45107199997</v>
      </c>
      <c r="H72" s="300">
        <f t="shared" ref="H72:H80" si="8">SUM(I72:K72)</f>
        <v>4131671.88</v>
      </c>
      <c r="I72" s="301">
        <v>3039257.84</v>
      </c>
      <c r="J72" s="301">
        <v>206583.59</v>
      </c>
      <c r="K72" s="248">
        <v>885830.45</v>
      </c>
      <c r="L72" s="358" t="s">
        <v>720</v>
      </c>
    </row>
    <row r="73" spans="1:13" s="359" customFormat="1" outlineLevel="1" x14ac:dyDescent="0.25">
      <c r="A73" s="260"/>
      <c r="B73" s="261" t="s">
        <v>67</v>
      </c>
      <c r="C73" s="245">
        <v>65173.85</v>
      </c>
      <c r="D73" s="300">
        <f>E73+F73+G73</f>
        <v>65173.849999999991</v>
      </c>
      <c r="E73" s="301">
        <f>C73*0.7356</f>
        <v>47941.884060000004</v>
      </c>
      <c r="F73" s="301">
        <f>C73*0.05</f>
        <v>3258.6925000000001</v>
      </c>
      <c r="G73" s="248">
        <f>C73-E73-F73</f>
        <v>13973.273439999994</v>
      </c>
      <c r="H73" s="300">
        <f>I73+J73+K73</f>
        <v>65173.850000000006</v>
      </c>
      <c r="I73" s="301">
        <v>47941.89</v>
      </c>
      <c r="J73" s="301">
        <v>3258.69</v>
      </c>
      <c r="K73" s="248">
        <v>13973.27</v>
      </c>
      <c r="L73" s="358" t="s">
        <v>659</v>
      </c>
    </row>
    <row r="74" spans="1:13" s="403" customFormat="1" ht="32.25" customHeight="1" x14ac:dyDescent="0.25">
      <c r="A74" s="391">
        <v>22</v>
      </c>
      <c r="B74" s="392" t="s">
        <v>112</v>
      </c>
      <c r="C74" s="287">
        <f>SUM(C75:C76)</f>
        <v>4514907.9000000004</v>
      </c>
      <c r="D74" s="393">
        <f>E74+F74+G74</f>
        <v>4514907.8999999994</v>
      </c>
      <c r="E74" s="401">
        <f>SUM(E75:E76)</f>
        <v>3321166.2512400001</v>
      </c>
      <c r="F74" s="401">
        <f>SUM(F75:F76)</f>
        <v>225745.39500000002</v>
      </c>
      <c r="G74" s="402">
        <f>SUM(G75:G76)</f>
        <v>967996.25375999964</v>
      </c>
      <c r="H74" s="393">
        <f>SUM(I74:K74)</f>
        <v>4514907.9000000004</v>
      </c>
      <c r="I74" s="401">
        <f>SUM(I75:I76)</f>
        <v>3321166.25</v>
      </c>
      <c r="J74" s="401">
        <f>SUM(J75:J76)</f>
        <v>225745.38999999998</v>
      </c>
      <c r="K74" s="402">
        <f>SUM(K75:K76)</f>
        <v>967996.26</v>
      </c>
      <c r="L74" s="406"/>
    </row>
    <row r="75" spans="1:13" s="359" customFormat="1" outlineLevel="1" x14ac:dyDescent="0.25">
      <c r="A75" s="260"/>
      <c r="B75" s="261" t="s">
        <v>555</v>
      </c>
      <c r="C75" s="355">
        <v>4451206.21</v>
      </c>
      <c r="D75" s="498">
        <f t="shared" si="7"/>
        <v>4451206.21</v>
      </c>
      <c r="E75" s="356">
        <f>C75*0.7356</f>
        <v>3274307.2880760003</v>
      </c>
      <c r="F75" s="356">
        <f>C75*0.05</f>
        <v>222560.31050000002</v>
      </c>
      <c r="G75" s="357">
        <f>C75-E75-F75</f>
        <v>954338.61142399965</v>
      </c>
      <c r="H75" s="498">
        <f t="shared" si="8"/>
        <v>4451206.21</v>
      </c>
      <c r="I75" s="356">
        <v>3274307.29</v>
      </c>
      <c r="J75" s="356">
        <v>222560.31</v>
      </c>
      <c r="K75" s="357">
        <v>954338.61</v>
      </c>
      <c r="L75" s="560" t="s">
        <v>720</v>
      </c>
    </row>
    <row r="76" spans="1:13" s="359" customFormat="1" outlineLevel="1" x14ac:dyDescent="0.25">
      <c r="A76" s="260"/>
      <c r="B76" s="261" t="s">
        <v>67</v>
      </c>
      <c r="C76" s="355">
        <v>63701.69</v>
      </c>
      <c r="D76" s="300">
        <f>E76+F76+G76</f>
        <v>63701.69</v>
      </c>
      <c r="E76" s="301">
        <f>C76*0.7356</f>
        <v>46858.963164000001</v>
      </c>
      <c r="F76" s="301">
        <f>C76*0.05</f>
        <v>3185.0845000000004</v>
      </c>
      <c r="G76" s="248">
        <f>C76-E76-F76</f>
        <v>13657.642336000001</v>
      </c>
      <c r="H76" s="300">
        <f>I76+J76+K76</f>
        <v>63701.69</v>
      </c>
      <c r="I76" s="356">
        <v>46858.96</v>
      </c>
      <c r="J76" s="356">
        <v>3185.08</v>
      </c>
      <c r="K76" s="357">
        <v>13657.65</v>
      </c>
      <c r="L76" s="386" t="s">
        <v>659</v>
      </c>
    </row>
    <row r="77" spans="1:13" s="54" customFormat="1" ht="24" customHeight="1" x14ac:dyDescent="0.25">
      <c r="A77" s="209">
        <v>23</v>
      </c>
      <c r="B77" s="60" t="s">
        <v>553</v>
      </c>
      <c r="C77" s="58">
        <f>SUM(C78:C79)</f>
        <v>92419.7</v>
      </c>
      <c r="D77" s="13">
        <f>E77+F77+G77</f>
        <v>92419.7</v>
      </c>
      <c r="E77" s="44">
        <f>SUM(E78:E79)</f>
        <v>67983.931320000003</v>
      </c>
      <c r="F77" s="44">
        <f>SUM(F78:F79)</f>
        <v>4620.9849999999997</v>
      </c>
      <c r="G77" s="297">
        <f>SUM(G78:G79)</f>
        <v>19814.783679999993</v>
      </c>
      <c r="H77" s="13">
        <f>SUM(I77:K77)</f>
        <v>92419.7</v>
      </c>
      <c r="I77" s="44">
        <f>SUM(I78:I79)</f>
        <v>67983.929999999993</v>
      </c>
      <c r="J77" s="44">
        <f>SUM(J78:J79)</f>
        <v>4620.99</v>
      </c>
      <c r="K77" s="297">
        <f>SUM(K78:K79)</f>
        <v>19814.78</v>
      </c>
      <c r="L77" s="141"/>
    </row>
    <row r="78" spans="1:13" outlineLevel="1" x14ac:dyDescent="0.25">
      <c r="A78" s="10"/>
      <c r="B78" s="43" t="s">
        <v>557</v>
      </c>
      <c r="C78" s="59"/>
      <c r="D78" s="29">
        <f t="shared" si="7"/>
        <v>0</v>
      </c>
      <c r="E78" s="12"/>
      <c r="F78" s="12"/>
      <c r="G78" s="16"/>
      <c r="H78" s="29">
        <f t="shared" si="8"/>
        <v>0</v>
      </c>
      <c r="I78" s="12"/>
      <c r="J78" s="12"/>
      <c r="K78" s="16"/>
      <c r="L78" s="124"/>
    </row>
    <row r="79" spans="1:13" s="359" customFormat="1" outlineLevel="1" x14ac:dyDescent="0.25">
      <c r="A79" s="260"/>
      <c r="B79" s="261" t="s">
        <v>67</v>
      </c>
      <c r="C79" s="245">
        <v>92419.7</v>
      </c>
      <c r="D79" s="300">
        <f t="shared" si="7"/>
        <v>92419.7</v>
      </c>
      <c r="E79" s="301">
        <f>C79*0.7356</f>
        <v>67983.931320000003</v>
      </c>
      <c r="F79" s="301">
        <f>C79*0.05</f>
        <v>4620.9849999999997</v>
      </c>
      <c r="G79" s="248">
        <f>C79-E79-F79</f>
        <v>19814.783679999993</v>
      </c>
      <c r="H79" s="300">
        <f t="shared" si="8"/>
        <v>92419.7</v>
      </c>
      <c r="I79" s="301">
        <v>67983.929999999993</v>
      </c>
      <c r="J79" s="301">
        <v>4620.99</v>
      </c>
      <c r="K79" s="248">
        <v>19814.78</v>
      </c>
      <c r="L79" s="358" t="s">
        <v>645</v>
      </c>
    </row>
    <row r="80" spans="1:13" s="54" customFormat="1" ht="30.75" customHeight="1" thickBot="1" x14ac:dyDescent="0.3">
      <c r="A80" s="126">
        <v>24</v>
      </c>
      <c r="B80" s="183" t="s">
        <v>556</v>
      </c>
      <c r="C80" s="176"/>
      <c r="D80" s="17">
        <f t="shared" si="7"/>
        <v>0</v>
      </c>
      <c r="E80" s="18"/>
      <c r="F80" s="18"/>
      <c r="G80" s="19"/>
      <c r="H80" s="17">
        <f t="shared" si="8"/>
        <v>0</v>
      </c>
      <c r="I80" s="18"/>
      <c r="J80" s="18"/>
      <c r="K80" s="19"/>
      <c r="L80" s="210"/>
    </row>
    <row r="81" spans="1:12" ht="15.75" thickBot="1" x14ac:dyDescent="0.3"/>
    <row r="82" spans="1:12" s="2" customFormat="1" x14ac:dyDescent="0.25">
      <c r="A82" s="25"/>
      <c r="B82" s="276" t="s">
        <v>68</v>
      </c>
      <c r="C82" s="279">
        <f t="shared" ref="C82:K82" si="9">C8</f>
        <v>661631.02</v>
      </c>
      <c r="D82" s="279">
        <f t="shared" si="9"/>
        <v>661631.0199999999</v>
      </c>
      <c r="E82" s="279">
        <f t="shared" si="9"/>
        <v>443121.88265356008</v>
      </c>
      <c r="F82" s="279">
        <f t="shared" si="9"/>
        <v>33081.551613272364</v>
      </c>
      <c r="G82" s="279">
        <f t="shared" si="9"/>
        <v>185427.58573316748</v>
      </c>
      <c r="H82" s="279">
        <f t="shared" si="9"/>
        <v>661631.02</v>
      </c>
      <c r="I82" s="279">
        <f t="shared" si="9"/>
        <v>443121.88</v>
      </c>
      <c r="J82" s="279">
        <f t="shared" si="9"/>
        <v>33081.550000000003</v>
      </c>
      <c r="K82" s="277">
        <f t="shared" si="9"/>
        <v>185427.59</v>
      </c>
    </row>
    <row r="83" spans="1:12" s="2" customFormat="1" x14ac:dyDescent="0.25">
      <c r="A83" s="25"/>
      <c r="B83" s="278" t="s">
        <v>64</v>
      </c>
      <c r="C83" s="12">
        <f t="shared" ref="C83:K83" si="10">C9+C35</f>
        <v>3739395.92</v>
      </c>
      <c r="D83" s="12">
        <f t="shared" si="10"/>
        <v>3739395.9200000004</v>
      </c>
      <c r="E83" s="12">
        <f t="shared" si="10"/>
        <v>3362298.0503680957</v>
      </c>
      <c r="F83" s="12">
        <f t="shared" si="10"/>
        <v>186969.76741966105</v>
      </c>
      <c r="G83" s="12">
        <f t="shared" si="10"/>
        <v>190128.10221224313</v>
      </c>
      <c r="H83" s="12">
        <f t="shared" si="10"/>
        <v>3739395.92</v>
      </c>
      <c r="I83" s="12">
        <f t="shared" si="10"/>
        <v>3362298.05</v>
      </c>
      <c r="J83" s="12">
        <f t="shared" si="10"/>
        <v>186969.77000000002</v>
      </c>
      <c r="K83" s="16">
        <f t="shared" si="10"/>
        <v>190128.1</v>
      </c>
    </row>
    <row r="84" spans="1:12" s="2" customFormat="1" x14ac:dyDescent="0.25">
      <c r="A84" s="25"/>
      <c r="B84" s="278" t="s">
        <v>65</v>
      </c>
      <c r="C84" s="12">
        <f t="shared" ref="C84:K84" si="11">C10+C36</f>
        <v>741826.23</v>
      </c>
      <c r="D84" s="12">
        <f t="shared" si="11"/>
        <v>741826.23</v>
      </c>
      <c r="E84" s="12">
        <f t="shared" si="11"/>
        <v>537478.92511259997</v>
      </c>
      <c r="F84" s="12">
        <f t="shared" si="11"/>
        <v>37091.323000000004</v>
      </c>
      <c r="G84" s="12">
        <f t="shared" si="11"/>
        <v>167255.98188739995</v>
      </c>
      <c r="H84" s="12">
        <f t="shared" si="11"/>
        <v>741826.23</v>
      </c>
      <c r="I84" s="12">
        <f t="shared" si="11"/>
        <v>537478.92999999993</v>
      </c>
      <c r="J84" s="12">
        <f t="shared" si="11"/>
        <v>37091.32</v>
      </c>
      <c r="K84" s="16">
        <f t="shared" si="11"/>
        <v>167255.97999999998</v>
      </c>
    </row>
    <row r="85" spans="1:12" s="2" customFormat="1" x14ac:dyDescent="0.25">
      <c r="A85" s="25"/>
      <c r="B85" s="278" t="s">
        <v>555</v>
      </c>
      <c r="C85" s="12">
        <f t="shared" ref="C85:K85" si="12">C11+C14+C20+C23+C26+C29+C32+C39+C42+C45+C48+C54+C60+C63+C66+C69+C72+C75</f>
        <v>67300871.709999979</v>
      </c>
      <c r="D85" s="12">
        <f t="shared" si="12"/>
        <v>67300871.709999979</v>
      </c>
      <c r="E85" s="12">
        <f t="shared" si="12"/>
        <v>48497438.068256393</v>
      </c>
      <c r="F85" s="12">
        <f t="shared" si="12"/>
        <v>3365043.5953526413</v>
      </c>
      <c r="G85" s="12">
        <f t="shared" si="12"/>
        <v>15438390.046390962</v>
      </c>
      <c r="H85" s="12">
        <f t="shared" si="12"/>
        <v>67300871.709999979</v>
      </c>
      <c r="I85" s="12">
        <f t="shared" si="12"/>
        <v>48497438.07</v>
      </c>
      <c r="J85" s="12">
        <f t="shared" si="12"/>
        <v>3365043.58</v>
      </c>
      <c r="K85" s="16">
        <f t="shared" si="12"/>
        <v>15438390.059999999</v>
      </c>
      <c r="L85" s="2">
        <v>6</v>
      </c>
    </row>
    <row r="86" spans="1:12" s="2" customFormat="1" x14ac:dyDescent="0.25">
      <c r="A86" s="25"/>
      <c r="B86" s="278" t="s">
        <v>557</v>
      </c>
      <c r="C86" s="12">
        <f t="shared" ref="C86:K86" si="13">C17+C51+C57+C78</f>
        <v>0</v>
      </c>
      <c r="D86" s="12">
        <f t="shared" si="13"/>
        <v>0</v>
      </c>
      <c r="E86" s="12">
        <f t="shared" si="13"/>
        <v>0</v>
      </c>
      <c r="F86" s="12">
        <f t="shared" si="13"/>
        <v>0</v>
      </c>
      <c r="G86" s="12">
        <f t="shared" si="13"/>
        <v>0</v>
      </c>
      <c r="H86" s="12">
        <f t="shared" si="13"/>
        <v>0</v>
      </c>
      <c r="I86" s="12">
        <f t="shared" si="13"/>
        <v>0</v>
      </c>
      <c r="J86" s="12">
        <f t="shared" si="13"/>
        <v>0</v>
      </c>
      <c r="K86" s="16">
        <f t="shared" si="13"/>
        <v>0</v>
      </c>
    </row>
    <row r="87" spans="1:12" s="2" customFormat="1" x14ac:dyDescent="0.25">
      <c r="A87" s="25"/>
      <c r="B87" s="281" t="s">
        <v>67</v>
      </c>
      <c r="C87" s="12">
        <f t="shared" ref="C87:K87" si="14">C12+C15+C18+C21+C24+C27+C30+C33+C37+C40+C43+C46+C49+C52+C55+C58+C61+C64+C67+C70+C73+C76+C79+C80</f>
        <v>2102311.1399999997</v>
      </c>
      <c r="D87" s="12">
        <f t="shared" si="14"/>
        <v>2102311.1399999997</v>
      </c>
      <c r="E87" s="12">
        <f t="shared" si="14"/>
        <v>1546460.074584</v>
      </c>
      <c r="F87" s="12">
        <f t="shared" si="14"/>
        <v>105115.55700000003</v>
      </c>
      <c r="G87" s="12">
        <f t="shared" si="14"/>
        <v>450735.50841599994</v>
      </c>
      <c r="H87" s="12">
        <f t="shared" si="14"/>
        <v>2102311.1399999997</v>
      </c>
      <c r="I87" s="12">
        <f t="shared" si="14"/>
        <v>1546460.1099999999</v>
      </c>
      <c r="J87" s="12">
        <f t="shared" si="14"/>
        <v>105115.55</v>
      </c>
      <c r="K87" s="16">
        <f t="shared" si="14"/>
        <v>450735.4800000001</v>
      </c>
      <c r="L87" s="2">
        <v>23</v>
      </c>
    </row>
    <row r="88" spans="1:12" s="9" customFormat="1" thickBot="1" x14ac:dyDescent="0.25">
      <c r="A88" s="275"/>
      <c r="B88" s="282" t="s">
        <v>625</v>
      </c>
      <c r="C88" s="18">
        <f t="shared" ref="C88:K88" si="15">SUM(C82:C87)</f>
        <v>74546036.019999981</v>
      </c>
      <c r="D88" s="18">
        <f t="shared" si="15"/>
        <v>74546036.019999981</v>
      </c>
      <c r="E88" s="18">
        <f t="shared" si="15"/>
        <v>54386797.000974648</v>
      </c>
      <c r="F88" s="18">
        <f t="shared" si="15"/>
        <v>3727301.7943855748</v>
      </c>
      <c r="G88" s="18">
        <f t="shared" si="15"/>
        <v>16431937.224639773</v>
      </c>
      <c r="H88" s="18">
        <f t="shared" si="15"/>
        <v>74546036.019999981</v>
      </c>
      <c r="I88" s="18">
        <f t="shared" si="15"/>
        <v>54386797.039999999</v>
      </c>
      <c r="J88" s="18">
        <f t="shared" si="15"/>
        <v>3727301.77</v>
      </c>
      <c r="K88" s="19">
        <f t="shared" si="15"/>
        <v>16431937.209999999</v>
      </c>
    </row>
    <row r="89" spans="1:12" x14ac:dyDescent="0.25">
      <c r="C89" s="96">
        <f t="shared" ref="C89:K89" si="16">C6</f>
        <v>74546036.020000026</v>
      </c>
      <c r="D89" s="96">
        <f t="shared" si="16"/>
        <v>74546036.019999981</v>
      </c>
      <c r="E89" s="96">
        <f t="shared" si="16"/>
        <v>54386797.000974633</v>
      </c>
      <c r="F89" s="96">
        <f t="shared" si="16"/>
        <v>3727301.7943855743</v>
      </c>
      <c r="G89" s="96">
        <f t="shared" si="16"/>
        <v>16431937.224639768</v>
      </c>
      <c r="H89" s="96">
        <f t="shared" si="16"/>
        <v>74546036.019999996</v>
      </c>
      <c r="I89" s="96">
        <f t="shared" si="16"/>
        <v>54386797.039999984</v>
      </c>
      <c r="J89" s="96">
        <f t="shared" si="16"/>
        <v>3727301.77</v>
      </c>
      <c r="K89" s="96">
        <f t="shared" si="16"/>
        <v>16431937.210000003</v>
      </c>
    </row>
    <row r="90" spans="1:12" x14ac:dyDescent="0.25">
      <c r="C90" s="96">
        <f t="shared" ref="C90:K90" si="17">C88-C89</f>
        <v>0</v>
      </c>
      <c r="D90" s="96">
        <f t="shared" si="17"/>
        <v>0</v>
      </c>
      <c r="E90" s="96">
        <f t="shared" si="17"/>
        <v>0</v>
      </c>
      <c r="F90" s="96">
        <f t="shared" si="17"/>
        <v>0</v>
      </c>
      <c r="G90" s="96">
        <f t="shared" si="17"/>
        <v>0</v>
      </c>
      <c r="H90" s="96">
        <f t="shared" si="17"/>
        <v>0</v>
      </c>
      <c r="I90" s="96">
        <f t="shared" si="17"/>
        <v>0</v>
      </c>
      <c r="J90" s="96">
        <f t="shared" si="17"/>
        <v>0</v>
      </c>
      <c r="K90" s="96">
        <f t="shared" si="17"/>
        <v>0</v>
      </c>
    </row>
  </sheetData>
  <autoFilter ref="A6:M80"/>
  <mergeCells count="7"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48" orientation="landscape" r:id="rId1"/>
  <rowBreaks count="2" manualBreakCount="2">
    <brk id="40" max="16383" man="1"/>
    <brk id="8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/>
  </sheetPr>
  <dimension ref="A1:M14"/>
  <sheetViews>
    <sheetView view="pageBreakPreview" zoomScale="75" zoomScaleNormal="100" zoomScaleSheetLayoutView="75" workbookViewId="0">
      <selection sqref="A1:L3"/>
    </sheetView>
  </sheetViews>
  <sheetFormatPr defaultColWidth="9.140625" defaultRowHeight="15" outlineLevelRow="1" x14ac:dyDescent="0.25"/>
  <cols>
    <col min="1" max="1" width="4.7109375" style="25" customWidth="1"/>
    <col min="2" max="2" width="41.5703125" style="2" customWidth="1"/>
    <col min="3" max="3" width="13.28515625" style="2" customWidth="1"/>
    <col min="4" max="4" width="13.7109375" style="2" customWidth="1"/>
    <col min="5" max="5" width="15.28515625" style="2" customWidth="1"/>
    <col min="6" max="6" width="13" style="2" customWidth="1"/>
    <col min="7" max="7" width="15.5703125" style="2" customWidth="1"/>
    <col min="8" max="8" width="14" style="2" customWidth="1"/>
    <col min="9" max="9" width="14.28515625" style="2" customWidth="1"/>
    <col min="10" max="10" width="13.42578125" style="2" customWidth="1"/>
    <col min="11" max="11" width="16.28515625" style="2" customWidth="1"/>
    <col min="12" max="12" width="26.42578125" style="2" customWidth="1"/>
    <col min="13" max="13" width="11.140625" style="2" customWidth="1"/>
    <col min="14" max="16384" width="9.140625" style="2"/>
  </cols>
  <sheetData>
    <row r="1" spans="1:13" x14ac:dyDescent="0.25">
      <c r="A1" s="777" t="s">
        <v>878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3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3" ht="15.7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3" s="5" customFormat="1" ht="32.25" customHeight="1" x14ac:dyDescent="0.25">
      <c r="A4" s="779" t="s">
        <v>0</v>
      </c>
      <c r="B4" s="748" t="s">
        <v>1</v>
      </c>
      <c r="C4" s="729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</row>
    <row r="5" spans="1:13" s="5" customFormat="1" ht="52.5" customHeight="1" x14ac:dyDescent="0.25">
      <c r="A5" s="775"/>
      <c r="B5" s="780"/>
      <c r="C5" s="730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</row>
    <row r="6" spans="1:13" s="5" customFormat="1" ht="24.75" customHeight="1" x14ac:dyDescent="0.25">
      <c r="A6" s="775" t="s">
        <v>10</v>
      </c>
      <c r="B6" s="776"/>
      <c r="C6" s="149">
        <f>C7+C14</f>
        <v>4167645.3000000003</v>
      </c>
      <c r="D6" s="13">
        <f>E6+F6+G6</f>
        <v>4167645.3000000007</v>
      </c>
      <c r="E6" s="22">
        <f>E7+E14</f>
        <v>3590384.7494970001</v>
      </c>
      <c r="F6" s="22">
        <f>F7+F14</f>
        <v>41676.453000000001</v>
      </c>
      <c r="G6" s="48">
        <f>G7+G14</f>
        <v>535584.09750300017</v>
      </c>
      <c r="H6" s="13">
        <f>I6+J6+K6</f>
        <v>4167645.3000000003</v>
      </c>
      <c r="I6" s="24">
        <f>I7+I14</f>
        <v>3590384.75</v>
      </c>
      <c r="J6" s="24">
        <f>J7+J14</f>
        <v>41676.450000000004</v>
      </c>
      <c r="K6" s="154">
        <f>K7+K14</f>
        <v>535584.1</v>
      </c>
      <c r="L6" s="125"/>
    </row>
    <row r="7" spans="1:13" s="9" customFormat="1" ht="25.5" customHeight="1" x14ac:dyDescent="0.2">
      <c r="A7" s="143">
        <v>1</v>
      </c>
      <c r="B7" s="148" t="s">
        <v>113</v>
      </c>
      <c r="C7" s="152">
        <f>SUM(C8:C13)</f>
        <v>4167645.3000000003</v>
      </c>
      <c r="D7" s="67">
        <f>SUM(E7:G7)</f>
        <v>4167645.3000000007</v>
      </c>
      <c r="E7" s="144">
        <f>SUM(E8:E13)</f>
        <v>3590384.7494970001</v>
      </c>
      <c r="F7" s="144">
        <f>SUM(F8:F13)</f>
        <v>41676.453000000001</v>
      </c>
      <c r="G7" s="150">
        <f>SUM(G8:G13)</f>
        <v>535584.09750300017</v>
      </c>
      <c r="H7" s="67">
        <f>SUM(I7:K7)</f>
        <v>4167645.3000000003</v>
      </c>
      <c r="I7" s="66">
        <f>SUM(I8:I13)</f>
        <v>3590384.75</v>
      </c>
      <c r="J7" s="66">
        <f>SUM(J8:J13)</f>
        <v>41676.450000000004</v>
      </c>
      <c r="K7" s="155">
        <f>SUM(K8:K13)</f>
        <v>535584.1</v>
      </c>
      <c r="L7" s="145"/>
    </row>
    <row r="8" spans="1:13" s="91" customFormat="1" outlineLevel="1" x14ac:dyDescent="0.25">
      <c r="A8" s="260"/>
      <c r="B8" s="647" t="s">
        <v>68</v>
      </c>
      <c r="C8" s="648">
        <v>687775.98</v>
      </c>
      <c r="D8" s="338">
        <f t="shared" ref="D8:D11" si="0">E8+F8+G8</f>
        <v>687775.98</v>
      </c>
      <c r="E8" s="250">
        <v>599794.41053216625</v>
      </c>
      <c r="F8" s="649">
        <v>6877.7590128076645</v>
      </c>
      <c r="G8" s="650">
        <v>81103.810455026047</v>
      </c>
      <c r="H8" s="300">
        <f t="shared" ref="H8:H10" si="1">SUM(I8:K8)</f>
        <v>687775.98</v>
      </c>
      <c r="I8" s="301">
        <v>599794.41</v>
      </c>
      <c r="J8" s="301">
        <v>6877.76</v>
      </c>
      <c r="K8" s="650">
        <v>81103.81</v>
      </c>
      <c r="L8" s="252" t="s">
        <v>820</v>
      </c>
      <c r="M8" s="597">
        <v>42591</v>
      </c>
    </row>
    <row r="9" spans="1:13" s="91" customFormat="1" outlineLevel="1" x14ac:dyDescent="0.25">
      <c r="A9" s="260"/>
      <c r="B9" s="647" t="s">
        <v>65</v>
      </c>
      <c r="C9" s="648">
        <v>239767.74</v>
      </c>
      <c r="D9" s="338">
        <f t="shared" si="0"/>
        <v>239767.73999999996</v>
      </c>
      <c r="E9" s="250">
        <v>209096.20931793764</v>
      </c>
      <c r="F9" s="649">
        <v>2397.6771255744125</v>
      </c>
      <c r="G9" s="650">
        <v>28273.853556487924</v>
      </c>
      <c r="H9" s="300">
        <f t="shared" si="1"/>
        <v>239767.74</v>
      </c>
      <c r="I9" s="301">
        <v>209096.21</v>
      </c>
      <c r="J9" s="301">
        <v>2397.6799999999998</v>
      </c>
      <c r="K9" s="650">
        <v>28273.85</v>
      </c>
      <c r="L9" s="252" t="s">
        <v>820</v>
      </c>
      <c r="M9" s="597">
        <v>42591</v>
      </c>
    </row>
    <row r="10" spans="1:13" s="91" customFormat="1" outlineLevel="1" x14ac:dyDescent="0.25">
      <c r="A10" s="260"/>
      <c r="B10" s="647" t="s">
        <v>66</v>
      </c>
      <c r="C10" s="648">
        <v>293233.53999999998</v>
      </c>
      <c r="D10" s="338">
        <f t="shared" si="0"/>
        <v>293233.53999999998</v>
      </c>
      <c r="E10" s="250">
        <v>255722.5657583453</v>
      </c>
      <c r="F10" s="649">
        <v>2932.3350643802601</v>
      </c>
      <c r="G10" s="650">
        <v>34578.639177274403</v>
      </c>
      <c r="H10" s="300">
        <f t="shared" si="1"/>
        <v>293233.53999999998</v>
      </c>
      <c r="I10" s="301">
        <v>255722.57</v>
      </c>
      <c r="J10" s="301">
        <v>2932.33</v>
      </c>
      <c r="K10" s="650">
        <v>34578.639999999999</v>
      </c>
      <c r="L10" s="252" t="s">
        <v>820</v>
      </c>
      <c r="M10" s="597">
        <v>42591</v>
      </c>
    </row>
    <row r="11" spans="1:13" s="91" customFormat="1" outlineLevel="1" x14ac:dyDescent="0.25">
      <c r="A11" s="260"/>
      <c r="B11" s="647" t="s">
        <v>555</v>
      </c>
      <c r="C11" s="648">
        <v>2623536.48</v>
      </c>
      <c r="D11" s="338">
        <f t="shared" si="0"/>
        <v>2623536.48</v>
      </c>
      <c r="E11" s="250">
        <v>2287928.8638885505</v>
      </c>
      <c r="F11" s="649">
        <v>26235.361797237663</v>
      </c>
      <c r="G11" s="650">
        <v>309372.25431421178</v>
      </c>
      <c r="H11" s="300">
        <f>SUM(I11:K11)</f>
        <v>2623536.4799999995</v>
      </c>
      <c r="I11" s="301">
        <v>2287928.86</v>
      </c>
      <c r="J11" s="301">
        <v>26235.360000000001</v>
      </c>
      <c r="K11" s="650">
        <v>309372.26</v>
      </c>
      <c r="L11" s="252" t="s">
        <v>820</v>
      </c>
      <c r="M11" s="597">
        <v>42591</v>
      </c>
    </row>
    <row r="12" spans="1:13" s="91" customFormat="1" outlineLevel="1" x14ac:dyDescent="0.25">
      <c r="A12" s="147"/>
      <c r="B12" s="214" t="s">
        <v>557</v>
      </c>
      <c r="C12" s="153"/>
      <c r="D12" s="30"/>
      <c r="E12" s="146"/>
      <c r="F12" s="36"/>
      <c r="G12" s="151"/>
      <c r="H12" s="30"/>
      <c r="I12" s="31"/>
      <c r="J12" s="31"/>
      <c r="K12" s="151"/>
      <c r="L12" s="156"/>
    </row>
    <row r="13" spans="1:13" s="91" customFormat="1" x14ac:dyDescent="0.25">
      <c r="A13" s="267"/>
      <c r="B13" s="337" t="s">
        <v>67</v>
      </c>
      <c r="C13" s="339">
        <v>323331.56</v>
      </c>
      <c r="D13" s="338">
        <f>E13+F13+G13</f>
        <v>323331.56</v>
      </c>
      <c r="E13" s="250">
        <f>ROUND(C13*0.7356,2)</f>
        <v>237842.7</v>
      </c>
      <c r="F13" s="250">
        <f>ROUND(C13*1%,2)</f>
        <v>3233.32</v>
      </c>
      <c r="G13" s="251">
        <f>ROUND(C13-E13-F13,2)</f>
        <v>82255.539999999994</v>
      </c>
      <c r="H13" s="338">
        <f>I13+J13+K13</f>
        <v>323331.56</v>
      </c>
      <c r="I13" s="340">
        <v>237842.7</v>
      </c>
      <c r="J13" s="340">
        <v>3233.32</v>
      </c>
      <c r="K13" s="341">
        <v>82255.539999999994</v>
      </c>
      <c r="L13" s="342" t="s">
        <v>640</v>
      </c>
    </row>
    <row r="14" spans="1:13" s="9" customFormat="1" ht="19.5" customHeight="1" thickBot="1" x14ac:dyDescent="0.25">
      <c r="A14" s="157">
        <v>2</v>
      </c>
      <c r="B14" s="158" t="s">
        <v>556</v>
      </c>
      <c r="C14" s="161"/>
      <c r="D14" s="343">
        <f>SUM(E14:G14)</f>
        <v>0</v>
      </c>
      <c r="E14" s="159"/>
      <c r="F14" s="159"/>
      <c r="G14" s="160"/>
      <c r="H14" s="343">
        <f>SUM(I14:K14)</f>
        <v>0</v>
      </c>
      <c r="I14" s="162"/>
      <c r="J14" s="162"/>
      <c r="K14" s="163"/>
      <c r="L14" s="164"/>
    </row>
  </sheetData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5"/>
    <pageSetUpPr fitToPage="1"/>
  </sheetPr>
  <dimension ref="A1:M98"/>
  <sheetViews>
    <sheetView view="pageBreakPreview" zoomScale="70" zoomScaleNormal="70" zoomScaleSheetLayoutView="70" workbookViewId="0">
      <selection sqref="A1:L3"/>
    </sheetView>
  </sheetViews>
  <sheetFormatPr defaultColWidth="9.140625" defaultRowHeight="15" outlineLevelRow="1" x14ac:dyDescent="0.25"/>
  <cols>
    <col min="1" max="1" width="4.7109375" style="169" customWidth="1"/>
    <col min="2" max="2" width="43" style="71" customWidth="1"/>
    <col min="3" max="3" width="16.28515625" style="166" customWidth="1"/>
    <col min="4" max="11" width="16" style="71" customWidth="1"/>
    <col min="12" max="12" width="24" style="71" customWidth="1"/>
    <col min="13" max="13" width="11.140625" style="704" customWidth="1"/>
    <col min="14" max="16384" width="9.140625" style="71"/>
  </cols>
  <sheetData>
    <row r="1" spans="1:13" x14ac:dyDescent="0.25">
      <c r="A1" s="784" t="s">
        <v>879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</row>
    <row r="2" spans="1:13" x14ac:dyDescent="0.25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</row>
    <row r="3" spans="1:13" ht="15.75" thickBot="1" x14ac:dyDescent="0.3">
      <c r="A3" s="785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1:13" s="61" customFormat="1" ht="32.25" customHeight="1" x14ac:dyDescent="0.25">
      <c r="A4" s="786" t="s">
        <v>0</v>
      </c>
      <c r="B4" s="788" t="s">
        <v>1</v>
      </c>
      <c r="C4" s="729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  <c r="M4" s="705"/>
    </row>
    <row r="5" spans="1:13" s="61" customFormat="1" ht="52.5" customHeight="1" x14ac:dyDescent="0.25">
      <c r="A5" s="787"/>
      <c r="B5" s="789"/>
      <c r="C5" s="730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  <c r="M5" s="705"/>
    </row>
    <row r="6" spans="1:13" s="61" customFormat="1" ht="36.75" customHeight="1" x14ac:dyDescent="0.25">
      <c r="A6" s="782" t="s">
        <v>11</v>
      </c>
      <c r="B6" s="783"/>
      <c r="C6" s="165">
        <f>C7+C10+C13+C16+C21+C24+C27+C30+C33+C36+C38+C41+C44+C47+C50+C53+C56+C59+C62+C65+C68+C71+C77+C84+C86</f>
        <v>61396587.140000001</v>
      </c>
      <c r="D6" s="64">
        <f>E6+F6+G6</f>
        <v>61396587.140000001</v>
      </c>
      <c r="E6" s="719">
        <f t="shared" ref="E6:G6" si="0">E7+E10+E13+E16+E21+E24+E27+E30+E33+E36+E38+E41+E44+E47+E50+E53+E56+E59+E62+E65+E68+E71+E77+E84+E86</f>
        <v>45268499.518087998</v>
      </c>
      <c r="F6" s="719">
        <f t="shared" si="0"/>
        <v>2969796.5785000003</v>
      </c>
      <c r="G6" s="718">
        <f t="shared" si="0"/>
        <v>13158291.043411998</v>
      </c>
      <c r="H6" s="64">
        <f>I6+J6+K6</f>
        <v>55563806.670000002</v>
      </c>
      <c r="I6" s="719">
        <f t="shared" ref="I6:K6" si="1">I7+I10+I13+I16+I21+I24+I27+I30+I33+I36+I38+I41+I44+I47+I50+I53+I56+I59+I62+I65+I68+I71+I77+I84+I86</f>
        <v>40659378.050000004</v>
      </c>
      <c r="J6" s="719">
        <f t="shared" si="1"/>
        <v>2678157.5699999998</v>
      </c>
      <c r="K6" s="718">
        <f t="shared" si="1"/>
        <v>12226271.049999999</v>
      </c>
      <c r="L6" s="125"/>
      <c r="M6" s="705"/>
    </row>
    <row r="7" spans="1:13" s="73" customFormat="1" ht="30" customHeight="1" x14ac:dyDescent="0.25">
      <c r="A7" s="167">
        <v>1</v>
      </c>
      <c r="B7" s="80" t="s">
        <v>114</v>
      </c>
      <c r="C7" s="84">
        <f>SUM(C8:C9)</f>
        <v>76916.91</v>
      </c>
      <c r="D7" s="40">
        <f>SUM(E7:G7)</f>
        <v>76916.91</v>
      </c>
      <c r="E7" s="75">
        <f>SUM(E8:E9)</f>
        <v>60780.51</v>
      </c>
      <c r="F7" s="75">
        <f>SUM(F8:F9)</f>
        <v>3845.85</v>
      </c>
      <c r="G7" s="80">
        <f>SUM(G8:G9)</f>
        <v>12290.55</v>
      </c>
      <c r="H7" s="40">
        <f>SUM(I7:K7)</f>
        <v>0</v>
      </c>
      <c r="I7" s="75">
        <f>SUM(I8:I9)</f>
        <v>0</v>
      </c>
      <c r="J7" s="75">
        <f>SUM(J8:J9)</f>
        <v>0</v>
      </c>
      <c r="K7" s="80">
        <f>SUM(K8:K9)</f>
        <v>0</v>
      </c>
      <c r="L7" s="63"/>
      <c r="M7" s="706"/>
    </row>
    <row r="8" spans="1:13" outlineLevel="1" x14ac:dyDescent="0.25">
      <c r="A8" s="168"/>
      <c r="B8" s="16" t="s">
        <v>555</v>
      </c>
      <c r="C8" s="87"/>
      <c r="D8" s="42"/>
      <c r="E8" s="72"/>
      <c r="F8" s="72"/>
      <c r="G8" s="92"/>
      <c r="H8" s="42"/>
      <c r="I8" s="72"/>
      <c r="J8" s="72"/>
      <c r="K8" s="92"/>
      <c r="L8" s="47"/>
    </row>
    <row r="9" spans="1:13" s="254" customFormat="1" outlineLevel="1" x14ac:dyDescent="0.25">
      <c r="A9" s="397"/>
      <c r="B9" s="248" t="s">
        <v>67</v>
      </c>
      <c r="C9" s="252">
        <v>76916.91</v>
      </c>
      <c r="D9" s="249">
        <f>E9+F9+G9</f>
        <v>76916.91</v>
      </c>
      <c r="E9" s="250">
        <v>60780.51</v>
      </c>
      <c r="F9" s="250">
        <v>3845.85</v>
      </c>
      <c r="G9" s="251">
        <v>12290.55</v>
      </c>
      <c r="H9" s="249"/>
      <c r="I9" s="250"/>
      <c r="J9" s="250"/>
      <c r="K9" s="251"/>
      <c r="L9" s="252" t="s">
        <v>861</v>
      </c>
      <c r="M9" s="620">
        <v>42627</v>
      </c>
    </row>
    <row r="10" spans="1:13" s="292" customFormat="1" ht="27.75" customHeight="1" x14ac:dyDescent="0.25">
      <c r="A10" s="529">
        <v>2</v>
      </c>
      <c r="B10" s="247" t="s">
        <v>115</v>
      </c>
      <c r="C10" s="290">
        <f>SUM(C11:C12)</f>
        <v>3598034.5</v>
      </c>
      <c r="D10" s="288">
        <f>SUM(E10:G10)</f>
        <v>3598034.5</v>
      </c>
      <c r="E10" s="289">
        <f>SUM(E11:E12)</f>
        <v>2843202.84</v>
      </c>
      <c r="F10" s="289">
        <f>SUM(F11:F12)</f>
        <v>179901.73</v>
      </c>
      <c r="G10" s="247">
        <f>SUM(G11:G12)</f>
        <v>574929.93000000005</v>
      </c>
      <c r="H10" s="288">
        <f>SUM(I10:K10)</f>
        <v>0</v>
      </c>
      <c r="I10" s="289">
        <f>SUM(I11:I12)</f>
        <v>0</v>
      </c>
      <c r="J10" s="289">
        <f>SUM(J11:J12)</f>
        <v>0</v>
      </c>
      <c r="K10" s="247">
        <f>SUM(K11:K12)</f>
        <v>0</v>
      </c>
      <c r="L10" s="290"/>
      <c r="M10" s="675"/>
    </row>
    <row r="11" spans="1:13" s="254" customFormat="1" outlineLevel="1" x14ac:dyDescent="0.25">
      <c r="A11" s="397"/>
      <c r="B11" s="248" t="s">
        <v>555</v>
      </c>
      <c r="C11" s="252">
        <v>3522658.58</v>
      </c>
      <c r="D11" s="249">
        <f>E11+F11+G11</f>
        <v>3522658.58</v>
      </c>
      <c r="E11" s="250">
        <v>2783640.04</v>
      </c>
      <c r="F11" s="250">
        <v>176132.93000000002</v>
      </c>
      <c r="G11" s="251">
        <v>562885.6100000001</v>
      </c>
      <c r="H11" s="249"/>
      <c r="I11" s="250"/>
      <c r="J11" s="250"/>
      <c r="K11" s="251"/>
      <c r="L11" s="252" t="s">
        <v>864</v>
      </c>
      <c r="M11" s="620">
        <v>42660</v>
      </c>
    </row>
    <row r="12" spans="1:13" s="254" customFormat="1" outlineLevel="1" x14ac:dyDescent="0.25">
      <c r="A12" s="397"/>
      <c r="B12" s="248" t="s">
        <v>67</v>
      </c>
      <c r="C12" s="252">
        <v>75375.92</v>
      </c>
      <c r="D12" s="249">
        <f>E12+F12+G12</f>
        <v>75375.920000000013</v>
      </c>
      <c r="E12" s="250">
        <v>59562.8</v>
      </c>
      <c r="F12" s="250">
        <v>3768.8</v>
      </c>
      <c r="G12" s="251">
        <v>12044.32</v>
      </c>
      <c r="H12" s="249"/>
      <c r="I12" s="250"/>
      <c r="J12" s="250"/>
      <c r="K12" s="251"/>
      <c r="L12" s="252" t="s">
        <v>861</v>
      </c>
      <c r="M12" s="620">
        <v>42627</v>
      </c>
    </row>
    <row r="13" spans="1:13" s="73" customFormat="1" ht="29.25" customHeight="1" x14ac:dyDescent="0.25">
      <c r="A13" s="167">
        <v>4</v>
      </c>
      <c r="B13" s="80" t="s">
        <v>558</v>
      </c>
      <c r="C13" s="84">
        <f>SUM(C14:C15)</f>
        <v>92658.41</v>
      </c>
      <c r="D13" s="40">
        <f>SUM(E13:G13)</f>
        <v>92658.41</v>
      </c>
      <c r="E13" s="75">
        <f>SUM(E14:E15)</f>
        <v>61104.515058600009</v>
      </c>
      <c r="F13" s="75">
        <f>SUM(F14:F15)</f>
        <v>4632.9205000000002</v>
      </c>
      <c r="G13" s="80">
        <f>SUM(G14:G15)</f>
        <v>26920.974441399994</v>
      </c>
      <c r="H13" s="40">
        <f>SUM(I13:K13)</f>
        <v>92658.41</v>
      </c>
      <c r="I13" s="75">
        <f>SUM(I14:I15)</f>
        <v>61104.52</v>
      </c>
      <c r="J13" s="75">
        <f>SUM(J14:J15)</f>
        <v>4632.92</v>
      </c>
      <c r="K13" s="80">
        <f>SUM(K14:K15)</f>
        <v>26920.97</v>
      </c>
      <c r="L13" s="63"/>
      <c r="M13" s="706"/>
    </row>
    <row r="14" spans="1:13" outlineLevel="1" x14ac:dyDescent="0.25">
      <c r="A14" s="168"/>
      <c r="B14" s="16" t="s">
        <v>555</v>
      </c>
      <c r="C14" s="87"/>
      <c r="D14" s="42"/>
      <c r="E14" s="72"/>
      <c r="F14" s="72"/>
      <c r="G14" s="92"/>
      <c r="H14" s="42"/>
      <c r="I14" s="72"/>
      <c r="J14" s="72"/>
      <c r="K14" s="92"/>
      <c r="L14" s="47"/>
    </row>
    <row r="15" spans="1:13" s="254" customFormat="1" outlineLevel="1" x14ac:dyDescent="0.25">
      <c r="A15" s="397"/>
      <c r="B15" s="248" t="s">
        <v>67</v>
      </c>
      <c r="C15" s="252">
        <v>92658.41</v>
      </c>
      <c r="D15" s="249">
        <f>E15+F15+G15</f>
        <v>92658.41</v>
      </c>
      <c r="E15" s="250">
        <v>61104.515058600009</v>
      </c>
      <c r="F15" s="250">
        <v>4632.9205000000002</v>
      </c>
      <c r="G15" s="251">
        <v>26920.974441399994</v>
      </c>
      <c r="H15" s="249">
        <f>SUM(I15:K15)</f>
        <v>92658.41</v>
      </c>
      <c r="I15" s="250">
        <v>61104.52</v>
      </c>
      <c r="J15" s="250">
        <v>4632.92</v>
      </c>
      <c r="K15" s="251">
        <v>26920.97</v>
      </c>
      <c r="L15" s="252" t="s">
        <v>744</v>
      </c>
      <c r="M15" s="620"/>
    </row>
    <row r="16" spans="1:13" s="73" customFormat="1" ht="30.75" customHeight="1" x14ac:dyDescent="0.25">
      <c r="A16" s="167">
        <v>5</v>
      </c>
      <c r="B16" s="80" t="s">
        <v>116</v>
      </c>
      <c r="C16" s="84">
        <f>SUM(C17:C20)</f>
        <v>1101161.01</v>
      </c>
      <c r="D16" s="40">
        <f>SUM(E16:G16)</f>
        <v>1101161.0100000002</v>
      </c>
      <c r="E16" s="75">
        <f>SUM(E17:E20)</f>
        <v>870148.44000000006</v>
      </c>
      <c r="F16" s="75">
        <f>SUM(F17:F20)</f>
        <v>55058.05</v>
      </c>
      <c r="G16" s="80">
        <f>SUM(G17:G20)</f>
        <v>175954.52000000002</v>
      </c>
      <c r="H16" s="40">
        <f>SUM(I16:K16)</f>
        <v>0</v>
      </c>
      <c r="I16" s="75">
        <f>SUM(I17:I20)</f>
        <v>0</v>
      </c>
      <c r="J16" s="75">
        <f>SUM(J17:J20)</f>
        <v>0</v>
      </c>
      <c r="K16" s="80">
        <f>SUM(K17:K20)</f>
        <v>0</v>
      </c>
      <c r="L16" s="63"/>
      <c r="M16" s="706"/>
    </row>
    <row r="17" spans="1:13" outlineLevel="1" x14ac:dyDescent="0.25">
      <c r="A17" s="168"/>
      <c r="B17" s="16" t="s">
        <v>68</v>
      </c>
      <c r="C17" s="87"/>
      <c r="D17" s="42"/>
      <c r="E17" s="72"/>
      <c r="F17" s="72"/>
      <c r="G17" s="92"/>
      <c r="H17" s="42"/>
      <c r="I17" s="72"/>
      <c r="J17" s="72"/>
      <c r="K17" s="92"/>
      <c r="L17" s="47"/>
    </row>
    <row r="18" spans="1:13" s="254" customFormat="1" outlineLevel="1" x14ac:dyDescent="0.25">
      <c r="A18" s="397"/>
      <c r="B18" s="248" t="s">
        <v>65</v>
      </c>
      <c r="C18" s="252">
        <v>786614.36</v>
      </c>
      <c r="D18" s="249">
        <f>E18+F18+G18</f>
        <v>786614.36</v>
      </c>
      <c r="E18" s="250">
        <v>621590.53</v>
      </c>
      <c r="F18" s="250">
        <v>39330.720000000001</v>
      </c>
      <c r="G18" s="251">
        <v>125693.11</v>
      </c>
      <c r="H18" s="249"/>
      <c r="I18" s="250"/>
      <c r="J18" s="250"/>
      <c r="K18" s="251"/>
      <c r="L18" s="252" t="s">
        <v>862</v>
      </c>
      <c r="M18" s="620">
        <v>42660</v>
      </c>
    </row>
    <row r="19" spans="1:13" outlineLevel="1" x14ac:dyDescent="0.25">
      <c r="A19" s="168"/>
      <c r="B19" s="16" t="s">
        <v>557</v>
      </c>
      <c r="C19" s="87"/>
      <c r="D19" s="42"/>
      <c r="E19" s="72"/>
      <c r="F19" s="72"/>
      <c r="G19" s="92"/>
      <c r="H19" s="42"/>
      <c r="I19" s="72"/>
      <c r="J19" s="72"/>
      <c r="K19" s="92"/>
      <c r="L19" s="47"/>
    </row>
    <row r="20" spans="1:13" s="254" customFormat="1" outlineLevel="1" x14ac:dyDescent="0.25">
      <c r="A20" s="397"/>
      <c r="B20" s="248" t="s">
        <v>67</v>
      </c>
      <c r="C20" s="252">
        <v>314546.65000000002</v>
      </c>
      <c r="D20" s="249">
        <f>E20+F20+G20</f>
        <v>314546.65000000002</v>
      </c>
      <c r="E20" s="250">
        <v>248557.91</v>
      </c>
      <c r="F20" s="250">
        <v>15727.33</v>
      </c>
      <c r="G20" s="251">
        <v>50261.41</v>
      </c>
      <c r="H20" s="249"/>
      <c r="I20" s="250"/>
      <c r="J20" s="250"/>
      <c r="K20" s="251"/>
      <c r="L20" s="252" t="s">
        <v>861</v>
      </c>
      <c r="M20" s="620">
        <v>42627</v>
      </c>
    </row>
    <row r="21" spans="1:13" s="73" customFormat="1" ht="33" customHeight="1" x14ac:dyDescent="0.25">
      <c r="A21" s="167">
        <v>6</v>
      </c>
      <c r="B21" s="80" t="s">
        <v>559</v>
      </c>
      <c r="C21" s="84">
        <f>SUM(C22:C23)</f>
        <v>107384.64</v>
      </c>
      <c r="D21" s="40">
        <f>SUM(E21:G21)</f>
        <v>107384.64</v>
      </c>
      <c r="E21" s="75">
        <f>SUM(E22:E23)</f>
        <v>70815.874694400001</v>
      </c>
      <c r="F21" s="75">
        <f>SUM(F22:F23)</f>
        <v>5369.232</v>
      </c>
      <c r="G21" s="80">
        <f>SUM(G22:G23)</f>
        <v>31199.533305599998</v>
      </c>
      <c r="H21" s="40">
        <f>SUM(I21:K21)</f>
        <v>107384.62999999999</v>
      </c>
      <c r="I21" s="75">
        <f>SUM(I22:I23)</f>
        <v>70815.87</v>
      </c>
      <c r="J21" s="75">
        <f>SUM(J22:J23)</f>
        <v>5369.23</v>
      </c>
      <c r="K21" s="80">
        <f>SUM(K22:K23)</f>
        <v>31199.53</v>
      </c>
      <c r="L21" s="63"/>
      <c r="M21" s="706"/>
    </row>
    <row r="22" spans="1:13" outlineLevel="1" x14ac:dyDescent="0.25">
      <c r="A22" s="168"/>
      <c r="B22" s="16" t="s">
        <v>555</v>
      </c>
      <c r="C22" s="87"/>
      <c r="D22" s="42"/>
      <c r="E22" s="72"/>
      <c r="F22" s="72"/>
      <c r="G22" s="92"/>
      <c r="H22" s="42"/>
      <c r="I22" s="72"/>
      <c r="J22" s="72"/>
      <c r="K22" s="92"/>
      <c r="L22" s="47"/>
    </row>
    <row r="23" spans="1:13" s="254" customFormat="1" outlineLevel="1" x14ac:dyDescent="0.25">
      <c r="A23" s="397"/>
      <c r="B23" s="248" t="s">
        <v>67</v>
      </c>
      <c r="C23" s="252">
        <v>107384.64</v>
      </c>
      <c r="D23" s="249">
        <f>E23+F23+G23</f>
        <v>107384.64</v>
      </c>
      <c r="E23" s="250">
        <v>70815.874694400001</v>
      </c>
      <c r="F23" s="250">
        <v>5369.232</v>
      </c>
      <c r="G23" s="251">
        <v>31199.533305599998</v>
      </c>
      <c r="H23" s="249">
        <f>SUM(I23:K23)</f>
        <v>107384.62999999999</v>
      </c>
      <c r="I23" s="250">
        <v>70815.87</v>
      </c>
      <c r="J23" s="250">
        <v>5369.23</v>
      </c>
      <c r="K23" s="251">
        <v>31199.53</v>
      </c>
      <c r="L23" s="252" t="s">
        <v>744</v>
      </c>
      <c r="M23" s="620"/>
    </row>
    <row r="24" spans="1:13" s="73" customFormat="1" ht="35.25" customHeight="1" x14ac:dyDescent="0.25">
      <c r="A24" s="167">
        <v>7</v>
      </c>
      <c r="B24" s="80" t="s">
        <v>117</v>
      </c>
      <c r="C24" s="84">
        <f>SUM(C25:C26)</f>
        <v>101237.22</v>
      </c>
      <c r="D24" s="40">
        <f>SUM(E24:G24)</f>
        <v>101237.22</v>
      </c>
      <c r="E24" s="75">
        <f>SUM(E25:E26)</f>
        <v>79998.66</v>
      </c>
      <c r="F24" s="75">
        <f>SUM(F25:F26)</f>
        <v>5061.8599999999997</v>
      </c>
      <c r="G24" s="80">
        <f>SUM(G25:G26)</f>
        <v>16176.7</v>
      </c>
      <c r="H24" s="40">
        <f>SUM(I24:K24)</f>
        <v>0</v>
      </c>
      <c r="I24" s="75">
        <f>SUM(I25:I26)</f>
        <v>0</v>
      </c>
      <c r="J24" s="75">
        <f>SUM(J25:J26)</f>
        <v>0</v>
      </c>
      <c r="K24" s="80">
        <f>SUM(K25:K26)</f>
        <v>0</v>
      </c>
      <c r="L24" s="63"/>
      <c r="M24" s="706"/>
    </row>
    <row r="25" spans="1:13" outlineLevel="1" x14ac:dyDescent="0.25">
      <c r="A25" s="168"/>
      <c r="B25" s="16" t="s">
        <v>557</v>
      </c>
      <c r="C25" s="87"/>
      <c r="D25" s="42"/>
      <c r="E25" s="72"/>
      <c r="F25" s="72"/>
      <c r="G25" s="92"/>
      <c r="H25" s="42"/>
      <c r="I25" s="72"/>
      <c r="J25" s="72"/>
      <c r="K25" s="92"/>
      <c r="L25" s="47"/>
    </row>
    <row r="26" spans="1:13" s="254" customFormat="1" outlineLevel="1" x14ac:dyDescent="0.25">
      <c r="A26" s="397"/>
      <c r="B26" s="248" t="s">
        <v>67</v>
      </c>
      <c r="C26" s="252">
        <v>101237.22</v>
      </c>
      <c r="D26" s="249">
        <f>E26+F26+G26</f>
        <v>101237.22</v>
      </c>
      <c r="E26" s="250">
        <v>79998.66</v>
      </c>
      <c r="F26" s="250">
        <v>5061.8599999999997</v>
      </c>
      <c r="G26" s="251">
        <v>16176.7</v>
      </c>
      <c r="H26" s="249"/>
      <c r="I26" s="250"/>
      <c r="J26" s="250"/>
      <c r="K26" s="251"/>
      <c r="L26" s="252" t="s">
        <v>861</v>
      </c>
      <c r="M26" s="620">
        <v>42627</v>
      </c>
    </row>
    <row r="27" spans="1:13" s="292" customFormat="1" ht="40.5" customHeight="1" x14ac:dyDescent="0.25">
      <c r="A27" s="529">
        <v>8</v>
      </c>
      <c r="B27" s="247" t="s">
        <v>132</v>
      </c>
      <c r="C27" s="290">
        <f>SUM(C28:C29)</f>
        <v>2500819.2000000002</v>
      </c>
      <c r="D27" s="288">
        <f>SUM(E27:G27)</f>
        <v>2500819.2000000002</v>
      </c>
      <c r="E27" s="289">
        <f>SUM(E28:E29)</f>
        <v>1976172.3391700001</v>
      </c>
      <c r="F27" s="289">
        <f>SUM(F28:F29)</f>
        <v>25008.184999999998</v>
      </c>
      <c r="G27" s="247">
        <f>SUM(G28:G29)</f>
        <v>499638.67583000002</v>
      </c>
      <c r="H27" s="288">
        <f>SUM(I27:K27)</f>
        <v>2500819.21</v>
      </c>
      <c r="I27" s="289">
        <f>SUM(I28:I29)</f>
        <v>1976172.34</v>
      </c>
      <c r="J27" s="289">
        <f>SUM(J28:J29)</f>
        <v>25008.19</v>
      </c>
      <c r="K27" s="247">
        <f>SUM(K28:K29)</f>
        <v>499638.68</v>
      </c>
      <c r="L27" s="290"/>
      <c r="M27" s="675"/>
    </row>
    <row r="28" spans="1:13" s="254" customFormat="1" outlineLevel="1" x14ac:dyDescent="0.25">
      <c r="A28" s="397"/>
      <c r="B28" s="248" t="s">
        <v>555</v>
      </c>
      <c r="C28" s="252">
        <v>2420354.7000000002</v>
      </c>
      <c r="D28" s="249">
        <f>E28+F28+G28</f>
        <v>2420354.7000000002</v>
      </c>
      <c r="E28" s="250">
        <v>1923109.22</v>
      </c>
      <c r="F28" s="250">
        <v>20984.959999999999</v>
      </c>
      <c r="G28" s="251">
        <v>476260.52</v>
      </c>
      <c r="H28" s="249">
        <f>SUM(I28:K28)</f>
        <v>2420354.7000000002</v>
      </c>
      <c r="I28" s="250">
        <v>1923109.22</v>
      </c>
      <c r="J28" s="250">
        <v>20984.959999999999</v>
      </c>
      <c r="K28" s="251">
        <v>476260.52</v>
      </c>
      <c r="L28" s="252" t="s">
        <v>837</v>
      </c>
      <c r="M28" s="620">
        <v>42625</v>
      </c>
    </row>
    <row r="29" spans="1:13" s="254" customFormat="1" outlineLevel="1" x14ac:dyDescent="0.25">
      <c r="A29" s="397"/>
      <c r="B29" s="248" t="s">
        <v>67</v>
      </c>
      <c r="C29" s="252">
        <v>80464.5</v>
      </c>
      <c r="D29" s="249">
        <f>E29+F29+G29</f>
        <v>80464.5</v>
      </c>
      <c r="E29" s="250">
        <v>53063.119170000005</v>
      </c>
      <c r="F29" s="250">
        <v>4023.2250000000004</v>
      </c>
      <c r="G29" s="251">
        <v>23378.155829999996</v>
      </c>
      <c r="H29" s="249">
        <f>SUM(I29:K29)</f>
        <v>80464.510000000009</v>
      </c>
      <c r="I29" s="250">
        <v>53063.12</v>
      </c>
      <c r="J29" s="250">
        <v>4023.23</v>
      </c>
      <c r="K29" s="251">
        <v>23378.16</v>
      </c>
      <c r="L29" s="252" t="s">
        <v>744</v>
      </c>
      <c r="M29" s="620"/>
    </row>
    <row r="30" spans="1:13" s="292" customFormat="1" ht="27.75" customHeight="1" x14ac:dyDescent="0.25">
      <c r="A30" s="529">
        <v>9</v>
      </c>
      <c r="B30" s="247" t="s">
        <v>121</v>
      </c>
      <c r="C30" s="290">
        <f>SUM(C31:C32)</f>
        <v>3482238.23</v>
      </c>
      <c r="D30" s="288">
        <f>SUM(E30:G30)</f>
        <v>3482238.2299999995</v>
      </c>
      <c r="E30" s="289">
        <f>SUM(E31:E32)</f>
        <v>2380163.3427414</v>
      </c>
      <c r="F30" s="289">
        <f>SUM(F31:F32)</f>
        <v>174111.91149999999</v>
      </c>
      <c r="G30" s="247">
        <f>SUM(G31:G32)</f>
        <v>927962.97575859982</v>
      </c>
      <c r="H30" s="288">
        <f>SUM(I30:K30)</f>
        <v>3482238.2300000004</v>
      </c>
      <c r="I30" s="289">
        <f>SUM(I31:I32)</f>
        <v>2380163.3400000003</v>
      </c>
      <c r="J30" s="289">
        <f>SUM(J31:J32)</f>
        <v>174111.91</v>
      </c>
      <c r="K30" s="247">
        <f>SUM(K31:K32)</f>
        <v>927962.98</v>
      </c>
      <c r="L30" s="290"/>
      <c r="M30" s="675"/>
    </row>
    <row r="31" spans="1:13" s="254" customFormat="1" outlineLevel="1" x14ac:dyDescent="0.25">
      <c r="A31" s="397"/>
      <c r="B31" s="248" t="s">
        <v>555</v>
      </c>
      <c r="C31" s="252">
        <v>3406527.84</v>
      </c>
      <c r="D31" s="249">
        <f>E31+F31+G31</f>
        <v>3406527.84</v>
      </c>
      <c r="E31" s="250">
        <f>C31*0.68405</f>
        <v>2330235.368952</v>
      </c>
      <c r="F31" s="250">
        <f>C31*5%</f>
        <v>170326.39199999999</v>
      </c>
      <c r="G31" s="251">
        <f>C31-E31-F31</f>
        <v>905966.07904799981</v>
      </c>
      <c r="H31" s="249">
        <f>I31+J31+K31</f>
        <v>3406527.8400000003</v>
      </c>
      <c r="I31" s="250">
        <v>2330235.37</v>
      </c>
      <c r="J31" s="250">
        <v>170326.39</v>
      </c>
      <c r="K31" s="251">
        <v>905966.07999999996</v>
      </c>
      <c r="L31" s="252" t="s">
        <v>780</v>
      </c>
      <c r="M31" s="707">
        <v>42581</v>
      </c>
    </row>
    <row r="32" spans="1:13" s="254" customFormat="1" outlineLevel="1" x14ac:dyDescent="0.25">
      <c r="A32" s="397"/>
      <c r="B32" s="248" t="s">
        <v>67</v>
      </c>
      <c r="C32" s="252">
        <v>75710.39</v>
      </c>
      <c r="D32" s="249">
        <f>E32+F32+G32</f>
        <v>75710.39</v>
      </c>
      <c r="E32" s="250">
        <v>49927.973789400006</v>
      </c>
      <c r="F32" s="250">
        <v>3785.5195000000003</v>
      </c>
      <c r="G32" s="251">
        <v>21996.896710599991</v>
      </c>
      <c r="H32" s="249">
        <f>SUM(I32:K32)</f>
        <v>75710.39</v>
      </c>
      <c r="I32" s="250">
        <v>49927.97</v>
      </c>
      <c r="J32" s="250">
        <v>3785.52</v>
      </c>
      <c r="K32" s="251">
        <v>21996.9</v>
      </c>
      <c r="L32" s="252" t="s">
        <v>744</v>
      </c>
      <c r="M32" s="620"/>
    </row>
    <row r="33" spans="1:13" s="292" customFormat="1" ht="36.75" customHeight="1" x14ac:dyDescent="0.25">
      <c r="A33" s="529">
        <v>10</v>
      </c>
      <c r="B33" s="247" t="s">
        <v>122</v>
      </c>
      <c r="C33" s="290">
        <f>SUM(C34:C35)</f>
        <v>8018833.6399999997</v>
      </c>
      <c r="D33" s="288">
        <f>SUM(E33:G33)</f>
        <v>8018833.6399999997</v>
      </c>
      <c r="E33" s="289">
        <f>SUM(E34:E35)</f>
        <v>5483420.0581249995</v>
      </c>
      <c r="F33" s="289">
        <f>SUM(F34:F35)</f>
        <v>400941.68200000003</v>
      </c>
      <c r="G33" s="247">
        <f>SUM(G34:G35)</f>
        <v>2134471.8998750001</v>
      </c>
      <c r="H33" s="288">
        <f>SUM(I33:K33)</f>
        <v>8018833.6400000006</v>
      </c>
      <c r="I33" s="289">
        <f>SUM(I34:I35)</f>
        <v>5483420.0499999998</v>
      </c>
      <c r="J33" s="289">
        <f>SUM(J34:J35)</f>
        <v>400941.69</v>
      </c>
      <c r="K33" s="247">
        <f>SUM(K34:K35)</f>
        <v>2134471.9</v>
      </c>
      <c r="L33" s="290"/>
      <c r="M33" s="675"/>
    </row>
    <row r="34" spans="1:13" s="254" customFormat="1" outlineLevel="1" x14ac:dyDescent="0.25">
      <c r="A34" s="397"/>
      <c r="B34" s="248" t="s">
        <v>555</v>
      </c>
      <c r="C34" s="252">
        <v>7943067.3399999999</v>
      </c>
      <c r="D34" s="249">
        <f>E34+F34+G34</f>
        <v>7943067.3399999999</v>
      </c>
      <c r="E34" s="250">
        <f>C34*0.68405</f>
        <v>5433455.2139269998</v>
      </c>
      <c r="F34" s="250">
        <f>C34*5%</f>
        <v>397153.36700000003</v>
      </c>
      <c r="G34" s="251">
        <f>C34-E34-F34</f>
        <v>2112458.7590729999</v>
      </c>
      <c r="H34" s="249">
        <f>SUM(I34:K34)</f>
        <v>7943067.3399999999</v>
      </c>
      <c r="I34" s="250">
        <v>5433455.21</v>
      </c>
      <c r="J34" s="250">
        <v>397153.37</v>
      </c>
      <c r="K34" s="251">
        <v>2112458.7599999998</v>
      </c>
      <c r="L34" s="252" t="s">
        <v>780</v>
      </c>
      <c r="M34" s="707">
        <v>42581</v>
      </c>
    </row>
    <row r="35" spans="1:13" s="254" customFormat="1" outlineLevel="1" x14ac:dyDescent="0.25">
      <c r="A35" s="397"/>
      <c r="B35" s="248" t="s">
        <v>67</v>
      </c>
      <c r="C35" s="252">
        <v>75766.3</v>
      </c>
      <c r="D35" s="249">
        <f>E35+F35+G35</f>
        <v>75766.3</v>
      </c>
      <c r="E35" s="250">
        <v>49964.844198000006</v>
      </c>
      <c r="F35" s="250">
        <v>3788.3150000000005</v>
      </c>
      <c r="G35" s="251">
        <v>22013.140801999994</v>
      </c>
      <c r="H35" s="249">
        <f>SUM(I35:K35)</f>
        <v>75766.299999999988</v>
      </c>
      <c r="I35" s="250">
        <v>49964.84</v>
      </c>
      <c r="J35" s="250">
        <v>3788.32</v>
      </c>
      <c r="K35" s="251">
        <v>22013.14</v>
      </c>
      <c r="L35" s="252" t="s">
        <v>744</v>
      </c>
      <c r="M35" s="620"/>
    </row>
    <row r="36" spans="1:13" s="73" customFormat="1" ht="33" customHeight="1" x14ac:dyDescent="0.25">
      <c r="A36" s="167">
        <v>11</v>
      </c>
      <c r="B36" s="80" t="s">
        <v>48</v>
      </c>
      <c r="C36" s="84">
        <f>SUM(C37:C37)</f>
        <v>0</v>
      </c>
      <c r="D36" s="40">
        <f>SUM(E36:G36)</f>
        <v>0</v>
      </c>
      <c r="E36" s="75">
        <f>SUM(E37:E37)</f>
        <v>0</v>
      </c>
      <c r="F36" s="75">
        <f>SUM(F37:F37)</f>
        <v>0</v>
      </c>
      <c r="G36" s="80">
        <f>SUM(G37:G37)</f>
        <v>0</v>
      </c>
      <c r="H36" s="40">
        <f>SUM(I36:K36)</f>
        <v>0</v>
      </c>
      <c r="I36" s="75">
        <f>SUM(I37:I37)</f>
        <v>0</v>
      </c>
      <c r="J36" s="75">
        <f>SUM(J37:J37)</f>
        <v>0</v>
      </c>
      <c r="K36" s="80">
        <f>SUM(K37:K37)</f>
        <v>0</v>
      </c>
      <c r="L36" s="63"/>
      <c r="M36" s="706"/>
    </row>
    <row r="37" spans="1:13" outlineLevel="1" x14ac:dyDescent="0.25">
      <c r="A37" s="168"/>
      <c r="B37" s="16" t="s">
        <v>557</v>
      </c>
      <c r="C37" s="87"/>
      <c r="D37" s="42"/>
      <c r="E37" s="72"/>
      <c r="F37" s="72"/>
      <c r="G37" s="92"/>
      <c r="H37" s="42"/>
      <c r="I37" s="72"/>
      <c r="J37" s="72"/>
      <c r="K37" s="92"/>
      <c r="L37" s="47"/>
    </row>
    <row r="38" spans="1:13" s="73" customFormat="1" ht="29.25" customHeight="1" x14ac:dyDescent="0.25">
      <c r="A38" s="167">
        <v>12</v>
      </c>
      <c r="B38" s="80" t="s">
        <v>123</v>
      </c>
      <c r="C38" s="84">
        <f>SUM(C39:C40)</f>
        <v>108236.49</v>
      </c>
      <c r="D38" s="40">
        <f>SUM(E38:G38)</f>
        <v>108236.49</v>
      </c>
      <c r="E38" s="75">
        <f>SUM(E39:E40)</f>
        <v>71377.635695400008</v>
      </c>
      <c r="F38" s="75">
        <f>SUM(F39:F40)</f>
        <v>5411.8245000000006</v>
      </c>
      <c r="G38" s="80">
        <f>SUM(G39:G40)</f>
        <v>31447.029804599995</v>
      </c>
      <c r="H38" s="40">
        <f>SUM(I38:K38)</f>
        <v>108236.48999999999</v>
      </c>
      <c r="I38" s="75">
        <f>SUM(I39:I40)</f>
        <v>71377.64</v>
      </c>
      <c r="J38" s="75">
        <f>SUM(J39:J40)</f>
        <v>5411.82</v>
      </c>
      <c r="K38" s="80">
        <f>SUM(K39:K40)</f>
        <v>31447.03</v>
      </c>
      <c r="L38" s="63"/>
      <c r="M38" s="706"/>
    </row>
    <row r="39" spans="1:13" outlineLevel="1" x14ac:dyDescent="0.25">
      <c r="A39" s="168"/>
      <c r="B39" s="16" t="s">
        <v>555</v>
      </c>
      <c r="C39" s="87"/>
      <c r="D39" s="42"/>
      <c r="E39" s="72"/>
      <c r="F39" s="72"/>
      <c r="G39" s="92"/>
      <c r="H39" s="42"/>
      <c r="I39" s="72"/>
      <c r="J39" s="72"/>
      <c r="K39" s="92"/>
      <c r="L39" s="47"/>
    </row>
    <row r="40" spans="1:13" s="254" customFormat="1" outlineLevel="1" x14ac:dyDescent="0.25">
      <c r="A40" s="397"/>
      <c r="B40" s="248" t="s">
        <v>67</v>
      </c>
      <c r="C40" s="252">
        <v>108236.49</v>
      </c>
      <c r="D40" s="249">
        <f>E40+F40+G40</f>
        <v>108236.49</v>
      </c>
      <c r="E40" s="250">
        <v>71377.635695400008</v>
      </c>
      <c r="F40" s="250">
        <v>5411.8245000000006</v>
      </c>
      <c r="G40" s="251">
        <v>31447.029804599995</v>
      </c>
      <c r="H40" s="249">
        <f>SUM(I40:K40)</f>
        <v>108236.48999999999</v>
      </c>
      <c r="I40" s="250">
        <v>71377.64</v>
      </c>
      <c r="J40" s="250">
        <v>5411.82</v>
      </c>
      <c r="K40" s="251">
        <v>31447.03</v>
      </c>
      <c r="L40" s="252" t="s">
        <v>744</v>
      </c>
      <c r="M40" s="620"/>
    </row>
    <row r="41" spans="1:13" s="73" customFormat="1" ht="27.75" customHeight="1" x14ac:dyDescent="0.25">
      <c r="A41" s="167">
        <v>13</v>
      </c>
      <c r="B41" s="80" t="s">
        <v>124</v>
      </c>
      <c r="C41" s="84">
        <f>SUM(C42:C43)</f>
        <v>95944.639999999999</v>
      </c>
      <c r="D41" s="40">
        <f>SUM(E41:G41)</f>
        <v>95944.639999999999</v>
      </c>
      <c r="E41" s="75">
        <f>SUM(E42:E43)</f>
        <v>63271.652294400003</v>
      </c>
      <c r="F41" s="75">
        <f>SUM(F42:F43)</f>
        <v>4797.232</v>
      </c>
      <c r="G41" s="80">
        <f>SUM(G42:G43)</f>
        <v>27875.755705599997</v>
      </c>
      <c r="H41" s="40">
        <f>SUM(I41:K41)</f>
        <v>95944.639999999999</v>
      </c>
      <c r="I41" s="75">
        <f>SUM(I42:I43)</f>
        <v>63271.65</v>
      </c>
      <c r="J41" s="75">
        <f>SUM(J42:J43)</f>
        <v>4797.2299999999996</v>
      </c>
      <c r="K41" s="80">
        <f>SUM(K42:K43)</f>
        <v>27875.759999999998</v>
      </c>
      <c r="L41" s="63"/>
      <c r="M41" s="706"/>
    </row>
    <row r="42" spans="1:13" outlineLevel="1" x14ac:dyDescent="0.25">
      <c r="A42" s="168"/>
      <c r="B42" s="16" t="s">
        <v>555</v>
      </c>
      <c r="C42" s="87"/>
      <c r="D42" s="42"/>
      <c r="E42" s="72"/>
      <c r="F42" s="72"/>
      <c r="G42" s="92"/>
      <c r="H42" s="42"/>
      <c r="I42" s="72"/>
      <c r="J42" s="72"/>
      <c r="K42" s="92"/>
      <c r="L42" s="47"/>
    </row>
    <row r="43" spans="1:13" s="254" customFormat="1" outlineLevel="1" x14ac:dyDescent="0.25">
      <c r="A43" s="397"/>
      <c r="B43" s="248" t="s">
        <v>67</v>
      </c>
      <c r="C43" s="252">
        <v>95944.639999999999</v>
      </c>
      <c r="D43" s="249">
        <f>E43+F43+G43</f>
        <v>95944.639999999999</v>
      </c>
      <c r="E43" s="250">
        <v>63271.652294400003</v>
      </c>
      <c r="F43" s="250">
        <v>4797.232</v>
      </c>
      <c r="G43" s="251">
        <v>27875.755705599997</v>
      </c>
      <c r="H43" s="249">
        <f>SUM(I43:K43)</f>
        <v>95944.639999999999</v>
      </c>
      <c r="I43" s="250">
        <v>63271.65</v>
      </c>
      <c r="J43" s="250">
        <v>4797.2299999999996</v>
      </c>
      <c r="K43" s="251">
        <v>27875.759999999998</v>
      </c>
      <c r="L43" s="252" t="s">
        <v>744</v>
      </c>
      <c r="M43" s="620"/>
    </row>
    <row r="44" spans="1:13" s="292" customFormat="1" ht="30" customHeight="1" x14ac:dyDescent="0.25">
      <c r="A44" s="529">
        <v>14</v>
      </c>
      <c r="B44" s="247" t="s">
        <v>131</v>
      </c>
      <c r="C44" s="290">
        <f>SUM(C45:C46)</f>
        <v>3995115.3</v>
      </c>
      <c r="D44" s="288">
        <f>SUM(E44:G44)</f>
        <v>3995115.3000000003</v>
      </c>
      <c r="E44" s="289">
        <f>SUM(E45:E46)</f>
        <v>2732858.6209650007</v>
      </c>
      <c r="F44" s="289">
        <f>SUM(F45:F46)</f>
        <v>199755.76500000004</v>
      </c>
      <c r="G44" s="247">
        <f>SUM(G45:G46)</f>
        <v>1062500.9140349994</v>
      </c>
      <c r="H44" s="288">
        <f>SUM(I44:K44)</f>
        <v>3995115.3</v>
      </c>
      <c r="I44" s="289">
        <f>SUM(I45:I46)</f>
        <v>2732858.6199999996</v>
      </c>
      <c r="J44" s="289">
        <f>SUM(J45:J46)</f>
        <v>199755.77</v>
      </c>
      <c r="K44" s="247">
        <f>SUM(K45:K46)</f>
        <v>1062500.9099999999</v>
      </c>
      <c r="L44" s="290"/>
      <c r="M44" s="675"/>
    </row>
    <row r="45" spans="1:13" s="254" customFormat="1" outlineLevel="1" x14ac:dyDescent="0.25">
      <c r="A45" s="397"/>
      <c r="B45" s="248" t="s">
        <v>555</v>
      </c>
      <c r="C45" s="252">
        <v>3912015</v>
      </c>
      <c r="D45" s="249">
        <f>E45+F45+G45</f>
        <v>3912015</v>
      </c>
      <c r="E45" s="250">
        <v>2678057.2971270005</v>
      </c>
      <c r="F45" s="250">
        <v>195600.75000000003</v>
      </c>
      <c r="G45" s="251">
        <v>1038356.9528729995</v>
      </c>
      <c r="H45" s="249">
        <f>I45+J45+K45</f>
        <v>3912015</v>
      </c>
      <c r="I45" s="250">
        <v>2678057.2999999998</v>
      </c>
      <c r="J45" s="250">
        <v>195600.75</v>
      </c>
      <c r="K45" s="251">
        <v>1038356.95</v>
      </c>
      <c r="L45" s="252" t="s">
        <v>788</v>
      </c>
      <c r="M45" s="707">
        <v>42576</v>
      </c>
    </row>
    <row r="46" spans="1:13" s="254" customFormat="1" outlineLevel="1" x14ac:dyDescent="0.25">
      <c r="A46" s="397"/>
      <c r="B46" s="248" t="s">
        <v>67</v>
      </c>
      <c r="C46" s="252">
        <v>83100.3</v>
      </c>
      <c r="D46" s="249">
        <f>E46+F46+G46</f>
        <v>83100.3</v>
      </c>
      <c r="E46" s="250">
        <v>54801.323838000004</v>
      </c>
      <c r="F46" s="250">
        <v>4155.0150000000003</v>
      </c>
      <c r="G46" s="251">
        <v>24143.961162</v>
      </c>
      <c r="H46" s="249">
        <f>SUM(I46:K46)</f>
        <v>83100.299999999988</v>
      </c>
      <c r="I46" s="250">
        <v>54801.32</v>
      </c>
      <c r="J46" s="250">
        <v>4155.0200000000004</v>
      </c>
      <c r="K46" s="251">
        <v>24143.96</v>
      </c>
      <c r="L46" s="252" t="s">
        <v>744</v>
      </c>
      <c r="M46" s="620"/>
    </row>
    <row r="47" spans="1:13" s="292" customFormat="1" ht="33" customHeight="1" x14ac:dyDescent="0.25">
      <c r="A47" s="529">
        <v>15</v>
      </c>
      <c r="B47" s="247" t="s">
        <v>130</v>
      </c>
      <c r="C47" s="290">
        <f>SUM(C48:C49)</f>
        <v>2428254.59</v>
      </c>
      <c r="D47" s="288">
        <f>SUM(E47:G47)</f>
        <v>2428254.59</v>
      </c>
      <c r="E47" s="289">
        <f>SUM(E48:E49)</f>
        <v>1661047.5522894999</v>
      </c>
      <c r="F47" s="289">
        <f>SUM(F48:F49)</f>
        <v>121412.7295</v>
      </c>
      <c r="G47" s="247">
        <f>SUM(G48:G49)</f>
        <v>645794.30821049993</v>
      </c>
      <c r="H47" s="288">
        <f>SUM(I47:K47)</f>
        <v>2428254.59</v>
      </c>
      <c r="I47" s="289">
        <f>SUM(I48:I49)</f>
        <v>1661047.55</v>
      </c>
      <c r="J47" s="289">
        <f>SUM(J48:J49)</f>
        <v>121412.73000000001</v>
      </c>
      <c r="K47" s="247">
        <f>SUM(K48:K49)</f>
        <v>645794.30999999994</v>
      </c>
      <c r="L47" s="290"/>
      <c r="M47" s="675"/>
    </row>
    <row r="48" spans="1:13" s="254" customFormat="1" outlineLevel="1" x14ac:dyDescent="0.25">
      <c r="A48" s="397"/>
      <c r="B48" s="248" t="s">
        <v>555</v>
      </c>
      <c r="C48" s="252">
        <v>2341662</v>
      </c>
      <c r="D48" s="249">
        <f>E48+F48+G48</f>
        <v>2341662</v>
      </c>
      <c r="E48" s="250">
        <v>1603943.2028880999</v>
      </c>
      <c r="F48" s="250">
        <v>117083.1</v>
      </c>
      <c r="G48" s="251">
        <v>620635.69711189996</v>
      </c>
      <c r="H48" s="249">
        <f>SUM(I48:K48)</f>
        <v>2341662</v>
      </c>
      <c r="I48" s="250">
        <v>1603943.2</v>
      </c>
      <c r="J48" s="250">
        <v>117083.1</v>
      </c>
      <c r="K48" s="251">
        <v>620635.69999999995</v>
      </c>
      <c r="L48" s="252" t="s">
        <v>788</v>
      </c>
      <c r="M48" s="707">
        <v>42576</v>
      </c>
    </row>
    <row r="49" spans="1:13" s="254" customFormat="1" outlineLevel="1" x14ac:dyDescent="0.25">
      <c r="A49" s="397"/>
      <c r="B49" s="248" t="s">
        <v>67</v>
      </c>
      <c r="C49" s="252">
        <v>86592.59</v>
      </c>
      <c r="D49" s="249">
        <f>E49+F49+G49</f>
        <v>86592.59</v>
      </c>
      <c r="E49" s="250">
        <f>C49*0.65946</f>
        <v>57104.349401400003</v>
      </c>
      <c r="F49" s="250">
        <f>C49*0.05</f>
        <v>4329.6295</v>
      </c>
      <c r="G49" s="251">
        <f>C49-E49-F49</f>
        <v>25158.611098599995</v>
      </c>
      <c r="H49" s="249">
        <f>SUM(I49:K49)</f>
        <v>86592.59</v>
      </c>
      <c r="I49" s="250">
        <v>57104.35</v>
      </c>
      <c r="J49" s="250">
        <v>4329.63</v>
      </c>
      <c r="K49" s="251">
        <v>25158.61</v>
      </c>
      <c r="L49" s="252" t="s">
        <v>744</v>
      </c>
      <c r="M49" s="620"/>
    </row>
    <row r="50" spans="1:13" s="73" customFormat="1" ht="34.5" customHeight="1" x14ac:dyDescent="0.25">
      <c r="A50" s="167">
        <v>16</v>
      </c>
      <c r="B50" s="80" t="s">
        <v>560</v>
      </c>
      <c r="C50" s="84">
        <f>SUM(C51:C52)</f>
        <v>72425.36</v>
      </c>
      <c r="D50" s="40">
        <f>SUM(E50:G50)</f>
        <v>72425.36</v>
      </c>
      <c r="E50" s="75">
        <f>SUM(E51:E52)</f>
        <v>47761.627905600006</v>
      </c>
      <c r="F50" s="75">
        <f>SUM(F51:F52)</f>
        <v>3621.268</v>
      </c>
      <c r="G50" s="80">
        <f>SUM(G51:G52)</f>
        <v>21042.464094399995</v>
      </c>
      <c r="H50" s="40">
        <f>SUM(I50:K50)</f>
        <v>72425.359999999986</v>
      </c>
      <c r="I50" s="75">
        <f>SUM(I51:I52)</f>
        <v>47761.63</v>
      </c>
      <c r="J50" s="75">
        <f>SUM(J51:J52)</f>
        <v>3621.27</v>
      </c>
      <c r="K50" s="80">
        <f>SUM(K51:K52)</f>
        <v>21042.46</v>
      </c>
      <c r="L50" s="63"/>
      <c r="M50" s="706"/>
    </row>
    <row r="51" spans="1:13" outlineLevel="1" x14ac:dyDescent="0.25">
      <c r="A51" s="168"/>
      <c r="B51" s="16" t="s">
        <v>557</v>
      </c>
      <c r="C51" s="87"/>
      <c r="D51" s="42"/>
      <c r="E51" s="72"/>
      <c r="F51" s="72"/>
      <c r="G51" s="92"/>
      <c r="H51" s="42"/>
      <c r="I51" s="72"/>
      <c r="J51" s="72"/>
      <c r="K51" s="92"/>
      <c r="L51" s="47"/>
    </row>
    <row r="52" spans="1:13" s="254" customFormat="1" outlineLevel="1" x14ac:dyDescent="0.25">
      <c r="A52" s="397"/>
      <c r="B52" s="248" t="s">
        <v>67</v>
      </c>
      <c r="C52" s="252">
        <v>72425.36</v>
      </c>
      <c r="D52" s="249">
        <f>E52+F52+G52</f>
        <v>72425.36</v>
      </c>
      <c r="E52" s="250">
        <v>47761.627905600006</v>
      </c>
      <c r="F52" s="250">
        <v>3621.268</v>
      </c>
      <c r="G52" s="251">
        <v>21042.464094399995</v>
      </c>
      <c r="H52" s="249">
        <f>SUM(I52:K52)</f>
        <v>72425.359999999986</v>
      </c>
      <c r="I52" s="250">
        <v>47761.63</v>
      </c>
      <c r="J52" s="250">
        <v>3621.27</v>
      </c>
      <c r="K52" s="251">
        <v>21042.46</v>
      </c>
      <c r="L52" s="252" t="s">
        <v>744</v>
      </c>
      <c r="M52" s="620"/>
    </row>
    <row r="53" spans="1:13" s="73" customFormat="1" ht="29.25" customHeight="1" x14ac:dyDescent="0.25">
      <c r="A53" s="167">
        <v>17</v>
      </c>
      <c r="B53" s="80" t="s">
        <v>118</v>
      </c>
      <c r="C53" s="84">
        <f>SUM(C54:C55)</f>
        <v>82847.88</v>
      </c>
      <c r="D53" s="40">
        <f>SUM(E53:G53)</f>
        <v>82847.88</v>
      </c>
      <c r="E53" s="75">
        <f>SUM(E54:E55)</f>
        <v>65467.23</v>
      </c>
      <c r="F53" s="75">
        <f>SUM(F54:F55)</f>
        <v>4142.3900000000003</v>
      </c>
      <c r="G53" s="80">
        <f>SUM(G54:G55)</f>
        <v>13238.26</v>
      </c>
      <c r="H53" s="40">
        <f>SUM(I53:K53)</f>
        <v>0</v>
      </c>
      <c r="I53" s="75">
        <f>SUM(I54:I55)</f>
        <v>0</v>
      </c>
      <c r="J53" s="75">
        <f>SUM(J54:J55)</f>
        <v>0</v>
      </c>
      <c r="K53" s="80">
        <f>SUM(K54:K55)</f>
        <v>0</v>
      </c>
      <c r="L53" s="63"/>
      <c r="M53" s="706"/>
    </row>
    <row r="54" spans="1:13" outlineLevel="1" x14ac:dyDescent="0.25">
      <c r="A54" s="168"/>
      <c r="B54" s="16" t="s">
        <v>557</v>
      </c>
      <c r="C54" s="87"/>
      <c r="D54" s="42"/>
      <c r="E54" s="72"/>
      <c r="F54" s="72"/>
      <c r="G54" s="92"/>
      <c r="H54" s="42"/>
      <c r="I54" s="72"/>
      <c r="J54" s="72"/>
      <c r="K54" s="92"/>
      <c r="L54" s="47"/>
    </row>
    <row r="55" spans="1:13" s="254" customFormat="1" outlineLevel="1" x14ac:dyDescent="0.25">
      <c r="A55" s="397"/>
      <c r="B55" s="248" t="s">
        <v>67</v>
      </c>
      <c r="C55" s="252">
        <v>82847.88</v>
      </c>
      <c r="D55" s="249">
        <f>E55+F55+G55</f>
        <v>82847.88</v>
      </c>
      <c r="E55" s="250">
        <v>65467.23</v>
      </c>
      <c r="F55" s="250">
        <v>4142.3900000000003</v>
      </c>
      <c r="G55" s="251">
        <v>13238.26</v>
      </c>
      <c r="H55" s="249"/>
      <c r="I55" s="250"/>
      <c r="J55" s="250"/>
      <c r="K55" s="251"/>
      <c r="L55" s="252" t="s">
        <v>861</v>
      </c>
      <c r="M55" s="620">
        <v>42627</v>
      </c>
    </row>
    <row r="56" spans="1:13" s="73" customFormat="1" ht="34.5" customHeight="1" x14ac:dyDescent="0.25">
      <c r="A56" s="167">
        <v>18</v>
      </c>
      <c r="B56" s="80" t="s">
        <v>125</v>
      </c>
      <c r="C56" s="84">
        <f>SUM(C57:C58)</f>
        <v>0</v>
      </c>
      <c r="D56" s="40">
        <f>SUM(E56:G56)</f>
        <v>0</v>
      </c>
      <c r="E56" s="75">
        <f>SUM(E57:E58)</f>
        <v>0</v>
      </c>
      <c r="F56" s="75">
        <f>SUM(F57:F58)</f>
        <v>0</v>
      </c>
      <c r="G56" s="80">
        <f>SUM(G57:G58)</f>
        <v>0</v>
      </c>
      <c r="H56" s="40">
        <f>SUM(I56:K56)</f>
        <v>0</v>
      </c>
      <c r="I56" s="75">
        <f>SUM(I57:I58)</f>
        <v>0</v>
      </c>
      <c r="J56" s="75">
        <f>SUM(J57:J58)</f>
        <v>0</v>
      </c>
      <c r="K56" s="80">
        <f>SUM(K57:K58)</f>
        <v>0</v>
      </c>
      <c r="L56" s="63"/>
      <c r="M56" s="706"/>
    </row>
    <row r="57" spans="1:13" outlineLevel="1" x14ac:dyDescent="0.25">
      <c r="A57" s="168"/>
      <c r="B57" s="16" t="s">
        <v>555</v>
      </c>
      <c r="C57" s="87"/>
      <c r="D57" s="42"/>
      <c r="E57" s="72"/>
      <c r="F57" s="72"/>
      <c r="G57" s="92"/>
      <c r="H57" s="42"/>
      <c r="I57" s="72"/>
      <c r="J57" s="72"/>
      <c r="K57" s="92"/>
      <c r="L57" s="47"/>
    </row>
    <row r="58" spans="1:13" outlineLevel="1" x14ac:dyDescent="0.25">
      <c r="A58" s="168"/>
      <c r="B58" s="16" t="s">
        <v>67</v>
      </c>
      <c r="C58" s="87"/>
      <c r="D58" s="42"/>
      <c r="E58" s="72"/>
      <c r="F58" s="72"/>
      <c r="G58" s="92"/>
      <c r="H58" s="42"/>
      <c r="I58" s="72"/>
      <c r="J58" s="72"/>
      <c r="K58" s="92"/>
      <c r="L58" s="47"/>
    </row>
    <row r="59" spans="1:13" s="292" customFormat="1" ht="30" customHeight="1" x14ac:dyDescent="0.25">
      <c r="A59" s="529">
        <v>19</v>
      </c>
      <c r="B59" s="247" t="s">
        <v>126</v>
      </c>
      <c r="C59" s="290">
        <f>SUM(C60:C61)</f>
        <v>3563801.15</v>
      </c>
      <c r="D59" s="288">
        <f>SUM(E59:G59)</f>
        <v>3563801.15</v>
      </c>
      <c r="E59" s="289">
        <f>SUM(E60:E61)</f>
        <v>2437818.1766575002</v>
      </c>
      <c r="F59" s="289">
        <f>SUM(F60:F61)</f>
        <v>178190.05749999997</v>
      </c>
      <c r="G59" s="247">
        <f>SUM(G60:G61)</f>
        <v>947792.91584249958</v>
      </c>
      <c r="H59" s="288">
        <f>SUM(I59:K59)</f>
        <v>3563801.1500000004</v>
      </c>
      <c r="I59" s="289">
        <f>SUM(I60:I61)</f>
        <v>2437818.1800000002</v>
      </c>
      <c r="J59" s="289">
        <f>SUM(J60:J61)</f>
        <v>178190.06</v>
      </c>
      <c r="K59" s="247">
        <f>SUM(K60:K61)</f>
        <v>947792.91</v>
      </c>
      <c r="L59" s="290"/>
      <c r="M59" s="675"/>
    </row>
    <row r="60" spans="1:13" s="254" customFormat="1" outlineLevel="1" x14ac:dyDescent="0.25">
      <c r="A60" s="397"/>
      <c r="B60" s="248" t="s">
        <v>555</v>
      </c>
      <c r="C60" s="252">
        <v>3484341.76</v>
      </c>
      <c r="D60" s="249">
        <f>SUM(E60:G60)</f>
        <v>3484341.76</v>
      </c>
      <c r="E60" s="250">
        <v>2385417.8873281004</v>
      </c>
      <c r="F60" s="250">
        <v>174217.08799999996</v>
      </c>
      <c r="G60" s="251">
        <v>924706.78467189963</v>
      </c>
      <c r="H60" s="249">
        <f>SUM(I60:K60)</f>
        <v>3484341.76</v>
      </c>
      <c r="I60" s="250">
        <v>2385417.89</v>
      </c>
      <c r="J60" s="250">
        <v>174217.09</v>
      </c>
      <c r="K60" s="251">
        <v>924706.78</v>
      </c>
      <c r="L60" s="252" t="s">
        <v>818</v>
      </c>
      <c r="M60" s="620">
        <v>42582</v>
      </c>
    </row>
    <row r="61" spans="1:13" s="254" customFormat="1" outlineLevel="1" x14ac:dyDescent="0.25">
      <c r="A61" s="397"/>
      <c r="B61" s="248" t="s">
        <v>67</v>
      </c>
      <c r="C61" s="252">
        <v>79459.39</v>
      </c>
      <c r="D61" s="249">
        <f>E61+F61+G61</f>
        <v>79459.39</v>
      </c>
      <c r="E61" s="250">
        <v>52400.289329400002</v>
      </c>
      <c r="F61" s="250">
        <v>3972.9695000000002</v>
      </c>
      <c r="G61" s="251">
        <v>23086.131170599998</v>
      </c>
      <c r="H61" s="249">
        <f>SUM(I61:K61)</f>
        <v>79459.39</v>
      </c>
      <c r="I61" s="250">
        <v>52400.29</v>
      </c>
      <c r="J61" s="250">
        <v>3972.97</v>
      </c>
      <c r="K61" s="251">
        <v>23086.13</v>
      </c>
      <c r="L61" s="252" t="s">
        <v>744</v>
      </c>
      <c r="M61" s="620"/>
    </row>
    <row r="62" spans="1:13" s="73" customFormat="1" ht="29.25" customHeight="1" x14ac:dyDescent="0.25">
      <c r="A62" s="167">
        <v>20</v>
      </c>
      <c r="B62" s="80" t="s">
        <v>127</v>
      </c>
      <c r="C62" s="84">
        <f>SUM(C63:C64)</f>
        <v>78665.94</v>
      </c>
      <c r="D62" s="40">
        <f>SUM(E62:G62)</f>
        <v>78665.94</v>
      </c>
      <c r="E62" s="75">
        <f>SUM(E63:E64)</f>
        <v>51877.040792400003</v>
      </c>
      <c r="F62" s="75">
        <f>SUM(F63:F64)</f>
        <v>3933.2970000000005</v>
      </c>
      <c r="G62" s="80">
        <f>SUM(G63:G64)</f>
        <v>22855.602207600001</v>
      </c>
      <c r="H62" s="40">
        <f>SUM(I62:K62)</f>
        <v>78665.94</v>
      </c>
      <c r="I62" s="75">
        <f>SUM(I63:I64)</f>
        <v>51877.04</v>
      </c>
      <c r="J62" s="75">
        <f>SUM(J63:J64)</f>
        <v>3933.3</v>
      </c>
      <c r="K62" s="80">
        <f>SUM(K63:K64)</f>
        <v>22855.599999999999</v>
      </c>
      <c r="L62" s="63"/>
      <c r="M62" s="706"/>
    </row>
    <row r="63" spans="1:13" outlineLevel="1" x14ac:dyDescent="0.25">
      <c r="A63" s="168"/>
      <c r="B63" s="16" t="s">
        <v>555</v>
      </c>
      <c r="C63" s="87"/>
      <c r="D63" s="42"/>
      <c r="E63" s="72"/>
      <c r="F63" s="72"/>
      <c r="G63" s="92"/>
      <c r="H63" s="42"/>
      <c r="I63" s="72"/>
      <c r="J63" s="72"/>
      <c r="K63" s="92"/>
      <c r="L63" s="47"/>
    </row>
    <row r="64" spans="1:13" s="254" customFormat="1" outlineLevel="1" x14ac:dyDescent="0.25">
      <c r="A64" s="397"/>
      <c r="B64" s="248" t="s">
        <v>67</v>
      </c>
      <c r="C64" s="252">
        <v>78665.94</v>
      </c>
      <c r="D64" s="249">
        <f>E64+F64+G64</f>
        <v>78665.94</v>
      </c>
      <c r="E64" s="250">
        <v>51877.040792400003</v>
      </c>
      <c r="F64" s="250">
        <v>3933.2970000000005</v>
      </c>
      <c r="G64" s="251">
        <v>22855.602207600001</v>
      </c>
      <c r="H64" s="249">
        <f>SUM(I64:K64)</f>
        <v>78665.94</v>
      </c>
      <c r="I64" s="250">
        <v>51877.04</v>
      </c>
      <c r="J64" s="250">
        <v>3933.3</v>
      </c>
      <c r="K64" s="251">
        <v>22855.599999999999</v>
      </c>
      <c r="L64" s="252" t="s">
        <v>744</v>
      </c>
      <c r="M64" s="620"/>
    </row>
    <row r="65" spans="1:13" s="73" customFormat="1" ht="29.25" customHeight="1" x14ac:dyDescent="0.25">
      <c r="A65" s="167">
        <v>21</v>
      </c>
      <c r="B65" s="80" t="s">
        <v>128</v>
      </c>
      <c r="C65" s="84">
        <f>SUM(C66:C67)</f>
        <v>81293.070000000007</v>
      </c>
      <c r="D65" s="40">
        <f>SUM(E65:G65)</f>
        <v>81293.070000000007</v>
      </c>
      <c r="E65" s="75">
        <f>SUM(E66:E67)</f>
        <v>53609.527942200009</v>
      </c>
      <c r="F65" s="75">
        <f>SUM(F66:F67)</f>
        <v>4064.6535000000003</v>
      </c>
      <c r="G65" s="80">
        <f>SUM(G66:G67)</f>
        <v>23618.888557799997</v>
      </c>
      <c r="H65" s="40">
        <f>SUM(I65:K65)</f>
        <v>81293.070000000007</v>
      </c>
      <c r="I65" s="75">
        <f>SUM(I66:I67)</f>
        <v>53609.53</v>
      </c>
      <c r="J65" s="75">
        <f>SUM(J66:J67)</f>
        <v>4064.65</v>
      </c>
      <c r="K65" s="80">
        <f>SUM(K66:K67)</f>
        <v>23618.89</v>
      </c>
      <c r="L65" s="63"/>
      <c r="M65" s="706"/>
    </row>
    <row r="66" spans="1:13" outlineLevel="1" x14ac:dyDescent="0.25">
      <c r="A66" s="168"/>
      <c r="B66" s="16" t="s">
        <v>555</v>
      </c>
      <c r="C66" s="87"/>
      <c r="D66" s="42"/>
      <c r="E66" s="72"/>
      <c r="F66" s="72"/>
      <c r="G66" s="92"/>
      <c r="H66" s="42"/>
      <c r="I66" s="72"/>
      <c r="J66" s="72"/>
      <c r="K66" s="92"/>
      <c r="L66" s="47"/>
    </row>
    <row r="67" spans="1:13" s="254" customFormat="1" outlineLevel="1" x14ac:dyDescent="0.25">
      <c r="A67" s="397"/>
      <c r="B67" s="248" t="s">
        <v>67</v>
      </c>
      <c r="C67" s="252">
        <v>81293.070000000007</v>
      </c>
      <c r="D67" s="249">
        <f>E67+F67+G67</f>
        <v>81293.070000000007</v>
      </c>
      <c r="E67" s="250">
        <v>53609.527942200009</v>
      </c>
      <c r="F67" s="250">
        <v>4064.6535000000003</v>
      </c>
      <c r="G67" s="251">
        <v>23618.888557799997</v>
      </c>
      <c r="H67" s="249">
        <f>SUM(I67:K67)</f>
        <v>81293.070000000007</v>
      </c>
      <c r="I67" s="250">
        <v>53609.53</v>
      </c>
      <c r="J67" s="250">
        <v>4064.65</v>
      </c>
      <c r="K67" s="251">
        <v>23618.89</v>
      </c>
      <c r="L67" s="252" t="s">
        <v>744</v>
      </c>
      <c r="M67" s="620"/>
    </row>
    <row r="68" spans="1:13" s="73" customFormat="1" ht="32.25" customHeight="1" x14ac:dyDescent="0.25">
      <c r="A68" s="167">
        <v>22</v>
      </c>
      <c r="B68" s="80" t="s">
        <v>129</v>
      </c>
      <c r="C68" s="84">
        <f>SUM(C69:C70)</f>
        <v>72930.289999999994</v>
      </c>
      <c r="D68" s="40">
        <f>SUM(E68:G68)</f>
        <v>72930.289999999994</v>
      </c>
      <c r="E68" s="75">
        <f>SUM(E69:E70)</f>
        <v>48094.6090434</v>
      </c>
      <c r="F68" s="75">
        <f>SUM(F69:F70)</f>
        <v>3646.5144999999998</v>
      </c>
      <c r="G68" s="80">
        <f>SUM(G69:G70)</f>
        <v>21189.166456599993</v>
      </c>
      <c r="H68" s="40">
        <f>SUM(I68:K68)</f>
        <v>72930.290000000008</v>
      </c>
      <c r="I68" s="75">
        <f>SUM(I69:I70)</f>
        <v>48094.61</v>
      </c>
      <c r="J68" s="75">
        <f>SUM(J69:J70)</f>
        <v>3646.51</v>
      </c>
      <c r="K68" s="80">
        <f>SUM(K69:K70)</f>
        <v>21189.17</v>
      </c>
      <c r="L68" s="63"/>
      <c r="M68" s="706"/>
    </row>
    <row r="69" spans="1:13" outlineLevel="1" x14ac:dyDescent="0.25">
      <c r="A69" s="168"/>
      <c r="B69" s="16" t="s">
        <v>555</v>
      </c>
      <c r="C69" s="87"/>
      <c r="D69" s="42"/>
      <c r="E69" s="72"/>
      <c r="F69" s="72"/>
      <c r="G69" s="92"/>
      <c r="H69" s="42"/>
      <c r="I69" s="72"/>
      <c r="J69" s="72"/>
      <c r="K69" s="92"/>
      <c r="L69" s="47"/>
    </row>
    <row r="70" spans="1:13" s="254" customFormat="1" outlineLevel="1" x14ac:dyDescent="0.25">
      <c r="A70" s="397"/>
      <c r="B70" s="248" t="s">
        <v>67</v>
      </c>
      <c r="C70" s="252">
        <v>72930.289999999994</v>
      </c>
      <c r="D70" s="249">
        <f>E70+F70+G70</f>
        <v>72930.289999999994</v>
      </c>
      <c r="E70" s="250">
        <v>48094.6090434</v>
      </c>
      <c r="F70" s="250">
        <v>3646.5144999999998</v>
      </c>
      <c r="G70" s="251">
        <v>21189.166456599993</v>
      </c>
      <c r="H70" s="249">
        <f>SUM(I70:K70)</f>
        <v>72930.290000000008</v>
      </c>
      <c r="I70" s="250">
        <v>48094.61</v>
      </c>
      <c r="J70" s="250">
        <v>3646.51</v>
      </c>
      <c r="K70" s="251">
        <v>21189.17</v>
      </c>
      <c r="L70" s="252" t="s">
        <v>744</v>
      </c>
      <c r="M70" s="620"/>
    </row>
    <row r="71" spans="1:13" s="292" customFormat="1" ht="30.75" customHeight="1" x14ac:dyDescent="0.25">
      <c r="A71" s="529">
        <v>23</v>
      </c>
      <c r="B71" s="247" t="s">
        <v>119</v>
      </c>
      <c r="C71" s="290">
        <f>SUM(C72:C76)</f>
        <v>8578530.1199999992</v>
      </c>
      <c r="D71" s="288">
        <f>SUM(E71:G71)</f>
        <v>8578530.120000001</v>
      </c>
      <c r="E71" s="289">
        <f>SUM(E72:E76)</f>
        <v>5908831.5641650008</v>
      </c>
      <c r="F71" s="289">
        <f>SUM(F72:F76)</f>
        <v>428926.50500000006</v>
      </c>
      <c r="G71" s="247">
        <f>SUM(G72:G76)</f>
        <v>2240772.0508349994</v>
      </c>
      <c r="H71" s="288">
        <f>SUM(I71:K71)</f>
        <v>8195259.2999999998</v>
      </c>
      <c r="I71" s="289">
        <f>SUM(I72:I76)</f>
        <v>5605967.1200000001</v>
      </c>
      <c r="J71" s="289">
        <f>SUM(J72:J76)</f>
        <v>409762.97</v>
      </c>
      <c r="K71" s="247">
        <f>SUM(K72:K76)</f>
        <v>2179529.21</v>
      </c>
      <c r="L71" s="290"/>
      <c r="M71" s="675"/>
    </row>
    <row r="72" spans="1:13" s="254" customFormat="1" outlineLevel="1" x14ac:dyDescent="0.25">
      <c r="A72" s="397"/>
      <c r="B72" s="248" t="s">
        <v>68</v>
      </c>
      <c r="C72" s="252">
        <v>1823304.1400000001</v>
      </c>
      <c r="D72" s="249">
        <f t="shared" ref="D72:D75" si="2">E72+F72+G72</f>
        <v>1823304.1400000001</v>
      </c>
      <c r="E72" s="250">
        <f>C72*0.68405</f>
        <v>1247231.1969670001</v>
      </c>
      <c r="F72" s="250">
        <f>C72*5%</f>
        <v>91165.207000000009</v>
      </c>
      <c r="G72" s="251">
        <f>C72-E72-F72</f>
        <v>484907.73603299999</v>
      </c>
      <c r="H72" s="249">
        <f>I72+J72+K72</f>
        <v>1823304.15</v>
      </c>
      <c r="I72" s="250">
        <v>1247231.2</v>
      </c>
      <c r="J72" s="250">
        <v>91165.21</v>
      </c>
      <c r="K72" s="251">
        <v>484907.74</v>
      </c>
      <c r="L72" s="252" t="s">
        <v>814</v>
      </c>
      <c r="M72" s="707" t="s">
        <v>815</v>
      </c>
    </row>
    <row r="73" spans="1:13" s="254" customFormat="1" outlineLevel="1" x14ac:dyDescent="0.25">
      <c r="A73" s="397"/>
      <c r="B73" s="248" t="s">
        <v>64</v>
      </c>
      <c r="C73" s="252">
        <v>4630225.5999999996</v>
      </c>
      <c r="D73" s="249">
        <f t="shared" si="2"/>
        <v>4630225.5999999996</v>
      </c>
      <c r="E73" s="250">
        <f t="shared" ref="E73:E75" si="3">C73*0.68405</f>
        <v>3167305.8216800001</v>
      </c>
      <c r="F73" s="250">
        <f t="shared" ref="F73:F75" si="4">C73*5%</f>
        <v>231511.28</v>
      </c>
      <c r="G73" s="251">
        <f t="shared" ref="G73:G75" si="5">C73-E73-F73</f>
        <v>1231408.4983199995</v>
      </c>
      <c r="H73" s="249">
        <f t="shared" ref="H73:H75" si="6">I73+J73+K73</f>
        <v>4630225.5999999996</v>
      </c>
      <c r="I73" s="250">
        <v>3167305.82</v>
      </c>
      <c r="J73" s="250">
        <v>231511.28</v>
      </c>
      <c r="K73" s="251">
        <v>1231408.5</v>
      </c>
      <c r="L73" s="252" t="s">
        <v>814</v>
      </c>
      <c r="M73" s="707" t="s">
        <v>815</v>
      </c>
    </row>
    <row r="74" spans="1:13" s="254" customFormat="1" outlineLevel="1" x14ac:dyDescent="0.25">
      <c r="A74" s="397"/>
      <c r="B74" s="248" t="s">
        <v>65</v>
      </c>
      <c r="C74" s="252">
        <v>1022892.44</v>
      </c>
      <c r="D74" s="249">
        <f t="shared" si="2"/>
        <v>1022892.44</v>
      </c>
      <c r="E74" s="250">
        <f t="shared" si="3"/>
        <v>699709.57358199998</v>
      </c>
      <c r="F74" s="250">
        <f t="shared" si="4"/>
        <v>51144.622000000003</v>
      </c>
      <c r="G74" s="251">
        <f t="shared" si="5"/>
        <v>272038.24441799999</v>
      </c>
      <c r="H74" s="249">
        <f t="shared" si="6"/>
        <v>1022892.4299999999</v>
      </c>
      <c r="I74" s="250">
        <v>699709.57</v>
      </c>
      <c r="J74" s="250">
        <v>51144.62</v>
      </c>
      <c r="K74" s="251">
        <v>272038.24</v>
      </c>
      <c r="L74" s="252" t="s">
        <v>814</v>
      </c>
      <c r="M74" s="707" t="s">
        <v>815</v>
      </c>
    </row>
    <row r="75" spans="1:13" s="254" customFormat="1" outlineLevel="1" x14ac:dyDescent="0.25">
      <c r="A75" s="397"/>
      <c r="B75" s="248" t="s">
        <v>66</v>
      </c>
      <c r="C75" s="252">
        <v>718837.12</v>
      </c>
      <c r="D75" s="249">
        <f t="shared" si="2"/>
        <v>718837.12</v>
      </c>
      <c r="E75" s="250">
        <f t="shared" si="3"/>
        <v>491720.53193600004</v>
      </c>
      <c r="F75" s="250">
        <f t="shared" si="4"/>
        <v>35941.856</v>
      </c>
      <c r="G75" s="251">
        <f t="shared" si="5"/>
        <v>191174.73206399995</v>
      </c>
      <c r="H75" s="249">
        <f t="shared" si="6"/>
        <v>718837.12</v>
      </c>
      <c r="I75" s="250">
        <v>491720.53</v>
      </c>
      <c r="J75" s="250">
        <v>35941.86</v>
      </c>
      <c r="K75" s="251">
        <v>191174.73</v>
      </c>
      <c r="L75" s="252" t="s">
        <v>814</v>
      </c>
      <c r="M75" s="707" t="s">
        <v>815</v>
      </c>
    </row>
    <row r="76" spans="1:13" s="254" customFormat="1" outlineLevel="1" x14ac:dyDescent="0.25">
      <c r="A76" s="397"/>
      <c r="B76" s="248" t="s">
        <v>67</v>
      </c>
      <c r="C76" s="252">
        <v>383270.82</v>
      </c>
      <c r="D76" s="249">
        <f>E76+F76+G76</f>
        <v>383270.81999999995</v>
      </c>
      <c r="E76" s="250">
        <v>302864.44</v>
      </c>
      <c r="F76" s="250">
        <v>19163.54</v>
      </c>
      <c r="G76" s="251">
        <v>61242.84</v>
      </c>
      <c r="H76" s="249"/>
      <c r="I76" s="250"/>
      <c r="J76" s="250"/>
      <c r="K76" s="251"/>
      <c r="L76" s="252" t="s">
        <v>861</v>
      </c>
      <c r="M76" s="620">
        <v>42627</v>
      </c>
    </row>
    <row r="77" spans="1:13" s="73" customFormat="1" ht="30" customHeight="1" x14ac:dyDescent="0.25">
      <c r="A77" s="167">
        <v>24</v>
      </c>
      <c r="B77" s="80" t="s">
        <v>120</v>
      </c>
      <c r="C77" s="84">
        <f>SUM(C78:C83)</f>
        <v>22989667.720000003</v>
      </c>
      <c r="D77" s="40">
        <f>SUM(E77:G77)</f>
        <v>22989667.720000003</v>
      </c>
      <c r="E77" s="75">
        <f>SUM(E78:E83)</f>
        <v>18166665.330548201</v>
      </c>
      <c r="F77" s="75">
        <f>SUM(F78:F83)</f>
        <v>1149483.3810000003</v>
      </c>
      <c r="G77" s="80">
        <f>SUM(G78:G83)</f>
        <v>3673519.0084518008</v>
      </c>
      <c r="H77" s="40">
        <f>SUM(I77:K77)</f>
        <v>22669946.419999998</v>
      </c>
      <c r="I77" s="75">
        <f>SUM(I78:I83)</f>
        <v>17914018.359999999</v>
      </c>
      <c r="J77" s="75">
        <f>SUM(J78:J83)</f>
        <v>1133497.32</v>
      </c>
      <c r="K77" s="80">
        <f>SUM(K78:K83)</f>
        <v>3622430.7399999998</v>
      </c>
      <c r="L77" s="63"/>
      <c r="M77" s="706"/>
    </row>
    <row r="78" spans="1:13" s="254" customFormat="1" outlineLevel="1" x14ac:dyDescent="0.25">
      <c r="A78" s="576"/>
      <c r="B78" s="248" t="s">
        <v>68</v>
      </c>
      <c r="C78" s="268">
        <v>4330317.9800000004</v>
      </c>
      <c r="D78" s="317">
        <f>E78+F78+G78</f>
        <v>4330317.9800000004</v>
      </c>
      <c r="E78" s="318">
        <f>C78*0.79021</f>
        <v>3421860.5709758</v>
      </c>
      <c r="F78" s="318">
        <f>C78*5%</f>
        <v>216515.89900000003</v>
      </c>
      <c r="G78" s="319">
        <f>C78-E78-F78</f>
        <v>691941.51002420043</v>
      </c>
      <c r="H78" s="317">
        <f>SUM(I78:K78)</f>
        <v>4330317.9799999995</v>
      </c>
      <c r="I78" s="318">
        <v>3421860.57</v>
      </c>
      <c r="J78" s="318">
        <v>216515.9</v>
      </c>
      <c r="K78" s="319">
        <v>691941.51</v>
      </c>
      <c r="L78" s="268" t="s">
        <v>843</v>
      </c>
      <c r="M78" s="659">
        <v>42625</v>
      </c>
    </row>
    <row r="79" spans="1:13" s="254" customFormat="1" outlineLevel="1" x14ac:dyDescent="0.25">
      <c r="A79" s="576"/>
      <c r="B79" s="248" t="s">
        <v>64</v>
      </c>
      <c r="C79" s="268">
        <v>14172891.5</v>
      </c>
      <c r="D79" s="317">
        <f t="shared" ref="D79:D81" si="7">E79+F79+G79</f>
        <v>14172891.5</v>
      </c>
      <c r="E79" s="318">
        <f t="shared" ref="E79:E81" si="8">C79*0.79021</f>
        <v>11199560.592215</v>
      </c>
      <c r="F79" s="318">
        <f t="shared" ref="F79:F81" si="9">C79*5%</f>
        <v>708644.57500000007</v>
      </c>
      <c r="G79" s="319">
        <f t="shared" ref="G79:G81" si="10">C79-E79-F79</f>
        <v>2264686.3327850001</v>
      </c>
      <c r="H79" s="317">
        <f>SUM(I79:K79)</f>
        <v>14172891.5</v>
      </c>
      <c r="I79" s="318">
        <v>11199560.59</v>
      </c>
      <c r="J79" s="318">
        <v>708644.57</v>
      </c>
      <c r="K79" s="319">
        <v>2264686.34</v>
      </c>
      <c r="L79" s="268" t="s">
        <v>843</v>
      </c>
      <c r="M79" s="659">
        <v>42625</v>
      </c>
    </row>
    <row r="80" spans="1:13" s="254" customFormat="1" outlineLevel="1" x14ac:dyDescent="0.25">
      <c r="A80" s="576"/>
      <c r="B80" s="248" t="s">
        <v>65</v>
      </c>
      <c r="C80" s="268">
        <v>2093465.14</v>
      </c>
      <c r="D80" s="317">
        <f t="shared" si="7"/>
        <v>2093465.14</v>
      </c>
      <c r="E80" s="318">
        <f t="shared" si="8"/>
        <v>1654277.0882793998</v>
      </c>
      <c r="F80" s="318">
        <f t="shared" si="9"/>
        <v>104673.257</v>
      </c>
      <c r="G80" s="319">
        <f t="shared" si="10"/>
        <v>334514.79472060013</v>
      </c>
      <c r="H80" s="317">
        <f t="shared" ref="H80:H81" si="11">SUM(I80:K80)</f>
        <v>2093465.1400000001</v>
      </c>
      <c r="I80" s="318">
        <v>1654277.09</v>
      </c>
      <c r="J80" s="318">
        <v>104673.26</v>
      </c>
      <c r="K80" s="319">
        <v>334514.78999999998</v>
      </c>
      <c r="L80" s="268" t="s">
        <v>843</v>
      </c>
      <c r="M80" s="659">
        <v>42625</v>
      </c>
    </row>
    <row r="81" spans="1:13" s="254" customFormat="1" outlineLevel="1" x14ac:dyDescent="0.25">
      <c r="A81" s="576"/>
      <c r="B81" s="248" t="s">
        <v>66</v>
      </c>
      <c r="C81" s="268">
        <v>2073271.8</v>
      </c>
      <c r="D81" s="317">
        <f t="shared" si="7"/>
        <v>2073271.8</v>
      </c>
      <c r="E81" s="318">
        <f t="shared" si="8"/>
        <v>1638320.1090780001</v>
      </c>
      <c r="F81" s="318">
        <f t="shared" si="9"/>
        <v>103663.59000000001</v>
      </c>
      <c r="G81" s="319">
        <f t="shared" si="10"/>
        <v>331288.10092199995</v>
      </c>
      <c r="H81" s="317">
        <f t="shared" si="11"/>
        <v>2073271.8000000003</v>
      </c>
      <c r="I81" s="318">
        <v>1638320.11</v>
      </c>
      <c r="J81" s="318">
        <v>103663.59</v>
      </c>
      <c r="K81" s="319">
        <v>331288.09999999998</v>
      </c>
      <c r="L81" s="268" t="s">
        <v>843</v>
      </c>
      <c r="M81" s="659">
        <v>42625</v>
      </c>
    </row>
    <row r="82" spans="1:13" outlineLevel="1" x14ac:dyDescent="0.25">
      <c r="A82" s="170"/>
      <c r="B82" s="16" t="s">
        <v>561</v>
      </c>
      <c r="C82" s="172"/>
      <c r="D82" s="98"/>
      <c r="E82" s="99"/>
      <c r="F82" s="99"/>
      <c r="G82" s="171"/>
      <c r="H82" s="98"/>
      <c r="I82" s="99"/>
      <c r="J82" s="99"/>
      <c r="K82" s="171"/>
      <c r="L82" s="76"/>
    </row>
    <row r="83" spans="1:13" s="254" customFormat="1" outlineLevel="1" x14ac:dyDescent="0.25">
      <c r="A83" s="576"/>
      <c r="B83" s="248" t="s">
        <v>67</v>
      </c>
      <c r="C83" s="268">
        <v>319721.3</v>
      </c>
      <c r="D83" s="249">
        <f>E83+F83+G83</f>
        <v>319721.30000000005</v>
      </c>
      <c r="E83" s="250">
        <v>252646.97</v>
      </c>
      <c r="F83" s="250">
        <v>15986.06</v>
      </c>
      <c r="G83" s="251">
        <v>51088.27</v>
      </c>
      <c r="H83" s="317"/>
      <c r="I83" s="318"/>
      <c r="J83" s="318"/>
      <c r="K83" s="319"/>
      <c r="L83" s="252" t="s">
        <v>861</v>
      </c>
      <c r="M83" s="620">
        <v>42627</v>
      </c>
    </row>
    <row r="84" spans="1:13" s="254" customFormat="1" ht="23.25" customHeight="1" outlineLevel="1" x14ac:dyDescent="0.25">
      <c r="A84" s="708">
        <v>25</v>
      </c>
      <c r="B84" s="247" t="s">
        <v>860</v>
      </c>
      <c r="C84" s="709">
        <f>C85</f>
        <v>169590.83</v>
      </c>
      <c r="D84" s="710">
        <f>E84+F84+G84</f>
        <v>169590.83000000002</v>
      </c>
      <c r="E84" s="289">
        <f t="shared" ref="E84:G84" si="12">E85</f>
        <v>134012.37</v>
      </c>
      <c r="F84" s="289">
        <f t="shared" si="12"/>
        <v>8479.5400000000009</v>
      </c>
      <c r="G84" s="711">
        <f t="shared" si="12"/>
        <v>27098.92</v>
      </c>
      <c r="H84" s="710">
        <f>I84+J84+K84</f>
        <v>0</v>
      </c>
      <c r="I84" s="289">
        <f t="shared" ref="I84:K84" si="13">I85</f>
        <v>0</v>
      </c>
      <c r="J84" s="289">
        <f t="shared" si="13"/>
        <v>0</v>
      </c>
      <c r="K84" s="711">
        <f t="shared" si="13"/>
        <v>0</v>
      </c>
      <c r="L84" s="268"/>
      <c r="M84" s="620"/>
    </row>
    <row r="85" spans="1:13" s="254" customFormat="1" outlineLevel="1" x14ac:dyDescent="0.25">
      <c r="A85" s="708"/>
      <c r="B85" s="248" t="s">
        <v>67</v>
      </c>
      <c r="C85" s="268">
        <v>169590.83</v>
      </c>
      <c r="D85" s="353">
        <f>E85+F85+G85</f>
        <v>169590.83000000002</v>
      </c>
      <c r="E85" s="250">
        <v>134012.37</v>
      </c>
      <c r="F85" s="250">
        <v>8479.5400000000009</v>
      </c>
      <c r="G85" s="251">
        <v>27098.92</v>
      </c>
      <c r="H85" s="353">
        <f>I85+J85+K85</f>
        <v>0</v>
      </c>
      <c r="I85" s="318"/>
      <c r="J85" s="318"/>
      <c r="K85" s="319"/>
      <c r="L85" s="252" t="s">
        <v>861</v>
      </c>
      <c r="M85" s="620">
        <v>42627</v>
      </c>
    </row>
    <row r="86" spans="1:13" s="73" customFormat="1" ht="30.75" customHeight="1" thickBot="1" x14ac:dyDescent="0.3">
      <c r="A86" s="173">
        <v>26</v>
      </c>
      <c r="B86" s="174" t="s">
        <v>556</v>
      </c>
      <c r="C86" s="178"/>
      <c r="D86" s="177"/>
      <c r="E86" s="137"/>
      <c r="F86" s="137"/>
      <c r="G86" s="174"/>
      <c r="H86" s="177"/>
      <c r="I86" s="137"/>
      <c r="J86" s="137"/>
      <c r="K86" s="174"/>
      <c r="L86" s="175"/>
      <c r="M86" s="706"/>
    </row>
    <row r="87" spans="1:13" ht="15.75" thickBot="1" x14ac:dyDescent="0.3"/>
    <row r="88" spans="1:13" s="2" customFormat="1" x14ac:dyDescent="0.25">
      <c r="A88" s="25"/>
      <c r="B88" s="276" t="s">
        <v>68</v>
      </c>
      <c r="C88" s="279">
        <f t="shared" ref="C88:K88" si="14">C17+C72+C78</f>
        <v>6153622.120000001</v>
      </c>
      <c r="D88" s="279">
        <f t="shared" si="14"/>
        <v>6153622.120000001</v>
      </c>
      <c r="E88" s="279">
        <f t="shared" si="14"/>
        <v>4669091.7679428002</v>
      </c>
      <c r="F88" s="279">
        <f t="shared" si="14"/>
        <v>307681.10600000003</v>
      </c>
      <c r="G88" s="279">
        <f t="shared" si="14"/>
        <v>1176849.2460572005</v>
      </c>
      <c r="H88" s="279">
        <f t="shared" si="14"/>
        <v>6153622.129999999</v>
      </c>
      <c r="I88" s="279">
        <f t="shared" si="14"/>
        <v>4669091.7699999996</v>
      </c>
      <c r="J88" s="279">
        <f t="shared" si="14"/>
        <v>307681.11</v>
      </c>
      <c r="K88" s="277">
        <f t="shared" si="14"/>
        <v>1176849.25</v>
      </c>
      <c r="M88" s="642"/>
    </row>
    <row r="89" spans="1:13" s="2" customFormat="1" x14ac:dyDescent="0.25">
      <c r="A89" s="25"/>
      <c r="B89" s="278" t="s">
        <v>64</v>
      </c>
      <c r="C89" s="294">
        <f t="shared" ref="C89:K89" si="15">C73+C79</f>
        <v>18803117.100000001</v>
      </c>
      <c r="D89" s="294">
        <f t="shared" si="15"/>
        <v>18803117.100000001</v>
      </c>
      <c r="E89" s="294">
        <f t="shared" si="15"/>
        <v>14366866.413895</v>
      </c>
      <c r="F89" s="294">
        <f t="shared" si="15"/>
        <v>940155.8550000001</v>
      </c>
      <c r="G89" s="294">
        <f t="shared" si="15"/>
        <v>3496094.8311049994</v>
      </c>
      <c r="H89" s="294">
        <f t="shared" si="15"/>
        <v>18803117.100000001</v>
      </c>
      <c r="I89" s="294">
        <f t="shared" si="15"/>
        <v>14366866.41</v>
      </c>
      <c r="J89" s="294">
        <f t="shared" si="15"/>
        <v>940155.85</v>
      </c>
      <c r="K89" s="543">
        <f t="shared" si="15"/>
        <v>3496094.84</v>
      </c>
      <c r="M89" s="642"/>
    </row>
    <row r="90" spans="1:13" s="2" customFormat="1" x14ac:dyDescent="0.25">
      <c r="A90" s="25"/>
      <c r="B90" s="278" t="s">
        <v>65</v>
      </c>
      <c r="C90" s="12">
        <f t="shared" ref="C90:K90" si="16">C18+C74+C80</f>
        <v>3902971.9399999995</v>
      </c>
      <c r="D90" s="12">
        <f t="shared" si="16"/>
        <v>3902971.9399999995</v>
      </c>
      <c r="E90" s="12">
        <f t="shared" si="16"/>
        <v>2975577.1918613994</v>
      </c>
      <c r="F90" s="12">
        <f t="shared" si="16"/>
        <v>195148.59899999999</v>
      </c>
      <c r="G90" s="12">
        <f t="shared" si="16"/>
        <v>732246.1491386001</v>
      </c>
      <c r="H90" s="12">
        <f t="shared" si="16"/>
        <v>3116357.5700000003</v>
      </c>
      <c r="I90" s="12">
        <f t="shared" si="16"/>
        <v>2353986.66</v>
      </c>
      <c r="J90" s="12">
        <f t="shared" si="16"/>
        <v>155817.88</v>
      </c>
      <c r="K90" s="16">
        <f t="shared" si="16"/>
        <v>606553.03</v>
      </c>
      <c r="M90" s="642"/>
    </row>
    <row r="91" spans="1:13" s="2" customFormat="1" x14ac:dyDescent="0.25">
      <c r="A91" s="25"/>
      <c r="B91" s="278" t="s">
        <v>66</v>
      </c>
      <c r="C91" s="12">
        <f t="shared" ref="C91:K91" si="17">C75+C81</f>
        <v>2792108.92</v>
      </c>
      <c r="D91" s="12">
        <f t="shared" si="17"/>
        <v>2792108.92</v>
      </c>
      <c r="E91" s="12">
        <f t="shared" si="17"/>
        <v>2130040.6410139999</v>
      </c>
      <c r="F91" s="12">
        <f t="shared" si="17"/>
        <v>139605.446</v>
      </c>
      <c r="G91" s="12">
        <f t="shared" si="17"/>
        <v>522462.83298599988</v>
      </c>
      <c r="H91" s="12">
        <f t="shared" si="17"/>
        <v>2792108.9200000004</v>
      </c>
      <c r="I91" s="12">
        <f t="shared" si="17"/>
        <v>2130040.64</v>
      </c>
      <c r="J91" s="12">
        <f t="shared" si="17"/>
        <v>139605.45000000001</v>
      </c>
      <c r="K91" s="16">
        <f t="shared" si="17"/>
        <v>522462.82999999996</v>
      </c>
      <c r="M91" s="642"/>
    </row>
    <row r="92" spans="1:13" s="2" customFormat="1" x14ac:dyDescent="0.25">
      <c r="A92" s="25"/>
      <c r="B92" s="278" t="s">
        <v>555</v>
      </c>
      <c r="C92" s="12">
        <f t="shared" ref="C92:K92" si="18">C8+C11+C14+C22+C28+C31+C34+C39+C42+C45+C48+C57+C60+C63+C66+C69</f>
        <v>27030627.219999999</v>
      </c>
      <c r="D92" s="12">
        <f t="shared" si="18"/>
        <v>27030627.219999999</v>
      </c>
      <c r="E92" s="12">
        <f t="shared" si="18"/>
        <v>19137858.230222203</v>
      </c>
      <c r="F92" s="12">
        <f t="shared" si="18"/>
        <v>1251498.5870000001</v>
      </c>
      <c r="G92" s="12">
        <f t="shared" si="18"/>
        <v>6641270.4027777985</v>
      </c>
      <c r="H92" s="12">
        <f t="shared" si="18"/>
        <v>23507968.640000001</v>
      </c>
      <c r="I92" s="12">
        <f t="shared" si="18"/>
        <v>16354218.190000001</v>
      </c>
      <c r="J92" s="12">
        <f t="shared" si="18"/>
        <v>1075365.6599999999</v>
      </c>
      <c r="K92" s="16">
        <f t="shared" si="18"/>
        <v>6078384.79</v>
      </c>
      <c r="M92" s="642"/>
    </row>
    <row r="93" spans="1:13" s="2" customFormat="1" x14ac:dyDescent="0.25">
      <c r="A93" s="25"/>
      <c r="B93" s="278" t="s">
        <v>557</v>
      </c>
      <c r="C93" s="12">
        <f t="shared" ref="C93:K93" si="19">C19+C25+C37+C51+C54</f>
        <v>0</v>
      </c>
      <c r="D93" s="12">
        <f t="shared" si="19"/>
        <v>0</v>
      </c>
      <c r="E93" s="12">
        <f t="shared" si="19"/>
        <v>0</v>
      </c>
      <c r="F93" s="12">
        <f t="shared" si="19"/>
        <v>0</v>
      </c>
      <c r="G93" s="12">
        <f t="shared" si="19"/>
        <v>0</v>
      </c>
      <c r="H93" s="12">
        <f t="shared" si="19"/>
        <v>0</v>
      </c>
      <c r="I93" s="12">
        <f t="shared" si="19"/>
        <v>0</v>
      </c>
      <c r="J93" s="12">
        <f t="shared" si="19"/>
        <v>0</v>
      </c>
      <c r="K93" s="16">
        <f t="shared" si="19"/>
        <v>0</v>
      </c>
      <c r="M93" s="642"/>
    </row>
    <row r="94" spans="1:13" s="2" customFormat="1" x14ac:dyDescent="0.25">
      <c r="A94" s="25"/>
      <c r="B94" s="278" t="s">
        <v>561</v>
      </c>
      <c r="C94" s="12">
        <f t="shared" ref="C94:K94" si="20">C82</f>
        <v>0</v>
      </c>
      <c r="D94" s="12">
        <f t="shared" si="20"/>
        <v>0</v>
      </c>
      <c r="E94" s="12">
        <f t="shared" si="20"/>
        <v>0</v>
      </c>
      <c r="F94" s="12">
        <f t="shared" si="20"/>
        <v>0</v>
      </c>
      <c r="G94" s="12">
        <f t="shared" si="20"/>
        <v>0</v>
      </c>
      <c r="H94" s="12">
        <f t="shared" si="20"/>
        <v>0</v>
      </c>
      <c r="I94" s="12">
        <f t="shared" si="20"/>
        <v>0</v>
      </c>
      <c r="J94" s="12">
        <f t="shared" si="20"/>
        <v>0</v>
      </c>
      <c r="K94" s="16">
        <f t="shared" si="20"/>
        <v>0</v>
      </c>
      <c r="M94" s="642"/>
    </row>
    <row r="95" spans="1:13" s="2" customFormat="1" x14ac:dyDescent="0.25">
      <c r="A95" s="25"/>
      <c r="B95" s="281" t="s">
        <v>67</v>
      </c>
      <c r="C95" s="12">
        <f>C9+C12+C15+C20+C23+C26+C29+C32+C35+C40+C43+C46+C49+C52+C55+C58+C61+C64+C67+C70+C76+C83+C85+CC886</f>
        <v>2714139.84</v>
      </c>
      <c r="D95" s="12">
        <f t="shared" ref="D95:K95" si="21">D9+D12+D15+D20+D23+D26+D29+D32+D35+D40+D43+D46+D49+D52+D55+D58+D61+D64+D67+D70+D76+D83+D85+CD886</f>
        <v>2714139.84</v>
      </c>
      <c r="E95" s="12">
        <f t="shared" si="21"/>
        <v>1989065.2731526</v>
      </c>
      <c r="F95" s="12">
        <f t="shared" si="21"/>
        <v>135706.98550000001</v>
      </c>
      <c r="G95" s="12">
        <f t="shared" si="21"/>
        <v>589367.58134740009</v>
      </c>
      <c r="H95" s="12">
        <f t="shared" si="21"/>
        <v>1190632.31</v>
      </c>
      <c r="I95" s="12">
        <f t="shared" si="21"/>
        <v>785174.38000000012</v>
      </c>
      <c r="J95" s="12">
        <f t="shared" si="21"/>
        <v>59531.619999999995</v>
      </c>
      <c r="K95" s="12">
        <f t="shared" si="21"/>
        <v>345926.30999999994</v>
      </c>
      <c r="L95" s="2">
        <v>14</v>
      </c>
      <c r="M95" s="642"/>
    </row>
    <row r="96" spans="1:13" s="9" customFormat="1" thickBot="1" x14ac:dyDescent="0.25">
      <c r="A96" s="275"/>
      <c r="B96" s="282" t="s">
        <v>625</v>
      </c>
      <c r="C96" s="18">
        <f t="shared" ref="C96:K96" si="22">SUM(C88:C95)</f>
        <v>61396587.140000001</v>
      </c>
      <c r="D96" s="18">
        <f t="shared" si="22"/>
        <v>61396587.140000001</v>
      </c>
      <c r="E96" s="18">
        <f t="shared" si="22"/>
        <v>45268499.518087998</v>
      </c>
      <c r="F96" s="18">
        <f t="shared" si="22"/>
        <v>2969796.5785000003</v>
      </c>
      <c r="G96" s="18">
        <f t="shared" si="22"/>
        <v>13158291.043411998</v>
      </c>
      <c r="H96" s="18">
        <f t="shared" si="22"/>
        <v>55563806.670000002</v>
      </c>
      <c r="I96" s="18">
        <f t="shared" si="22"/>
        <v>40659378.050000004</v>
      </c>
      <c r="J96" s="18">
        <f t="shared" si="22"/>
        <v>2678157.5699999998</v>
      </c>
      <c r="K96" s="19">
        <f t="shared" si="22"/>
        <v>12226271.050000001</v>
      </c>
      <c r="M96" s="652"/>
    </row>
    <row r="97" spans="2:11" x14ac:dyDescent="0.25">
      <c r="C97" s="96">
        <f t="shared" ref="C97:K97" si="23">C6</f>
        <v>61396587.140000001</v>
      </c>
      <c r="D97" s="96">
        <f t="shared" si="23"/>
        <v>61396587.140000001</v>
      </c>
      <c r="E97" s="96">
        <f t="shared" si="23"/>
        <v>45268499.518087998</v>
      </c>
      <c r="F97" s="96">
        <f t="shared" si="23"/>
        <v>2969796.5785000003</v>
      </c>
      <c r="G97" s="96">
        <f t="shared" si="23"/>
        <v>13158291.043411998</v>
      </c>
      <c r="H97" s="96">
        <f t="shared" si="23"/>
        <v>55563806.670000002</v>
      </c>
      <c r="I97" s="96">
        <f t="shared" si="23"/>
        <v>40659378.050000004</v>
      </c>
      <c r="J97" s="96">
        <f t="shared" si="23"/>
        <v>2678157.5699999998</v>
      </c>
      <c r="K97" s="96">
        <f t="shared" si="23"/>
        <v>12226271.049999999</v>
      </c>
    </row>
    <row r="98" spans="2:11" x14ac:dyDescent="0.25">
      <c r="B98" s="96" t="s">
        <v>627</v>
      </c>
      <c r="C98" s="96">
        <f t="shared" ref="C98:K98" si="24">C96-C97</f>
        <v>0</v>
      </c>
      <c r="D98" s="96">
        <f t="shared" si="24"/>
        <v>0</v>
      </c>
      <c r="E98" s="96">
        <f t="shared" si="24"/>
        <v>0</v>
      </c>
      <c r="F98" s="96">
        <f t="shared" si="24"/>
        <v>0</v>
      </c>
      <c r="G98" s="96">
        <f t="shared" si="24"/>
        <v>0</v>
      </c>
      <c r="H98" s="96">
        <f t="shared" si="24"/>
        <v>0</v>
      </c>
      <c r="I98" s="96">
        <f t="shared" si="24"/>
        <v>0</v>
      </c>
      <c r="J98" s="96">
        <f t="shared" si="24"/>
        <v>0</v>
      </c>
      <c r="K98" s="96">
        <f t="shared" si="24"/>
        <v>0</v>
      </c>
    </row>
  </sheetData>
  <autoFilter ref="A7:M86"/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2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5"/>
  </sheetPr>
  <dimension ref="A1:M217"/>
  <sheetViews>
    <sheetView view="pageBreakPreview" zoomScale="85" zoomScaleNormal="100" zoomScaleSheetLayoutView="85" workbookViewId="0">
      <pane ySplit="5" topLeftCell="A27" activePane="bottomLeft" state="frozen"/>
      <selection pane="bottomLeft" sqref="A1:L3"/>
    </sheetView>
  </sheetViews>
  <sheetFormatPr defaultColWidth="9.140625" defaultRowHeight="15" outlineLevelRow="1" x14ac:dyDescent="0.25"/>
  <cols>
    <col min="1" max="1" width="4.7109375" style="119" customWidth="1"/>
    <col min="2" max="2" width="43.85546875" style="71" customWidth="1"/>
    <col min="3" max="3" width="15.5703125" style="71" customWidth="1"/>
    <col min="4" max="4" width="14.42578125" style="71" customWidth="1"/>
    <col min="5" max="7" width="15.85546875" style="71" customWidth="1"/>
    <col min="8" max="8" width="15.28515625" style="71" customWidth="1"/>
    <col min="9" max="11" width="15.85546875" style="71" customWidth="1"/>
    <col min="12" max="12" width="24.5703125" style="71" customWidth="1"/>
    <col min="13" max="13" width="15.28515625" style="704" customWidth="1"/>
    <col min="14" max="16384" width="9.140625" style="71"/>
  </cols>
  <sheetData>
    <row r="1" spans="1:13" x14ac:dyDescent="0.25">
      <c r="A1" s="784" t="s">
        <v>880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</row>
    <row r="2" spans="1:13" x14ac:dyDescent="0.25">
      <c r="A2" s="784"/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</row>
    <row r="3" spans="1:13" ht="15.75" thickBot="1" x14ac:dyDescent="0.3">
      <c r="A3" s="785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</row>
    <row r="4" spans="1:13" s="61" customFormat="1" ht="32.25" customHeight="1" x14ac:dyDescent="0.25">
      <c r="A4" s="795" t="s">
        <v>0</v>
      </c>
      <c r="B4" s="793" t="s">
        <v>1</v>
      </c>
      <c r="C4" s="729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  <c r="M4" s="705"/>
    </row>
    <row r="5" spans="1:13" s="61" customFormat="1" ht="45" customHeight="1" x14ac:dyDescent="0.25">
      <c r="A5" s="796"/>
      <c r="B5" s="794"/>
      <c r="C5" s="730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  <c r="M5" s="705"/>
    </row>
    <row r="6" spans="1:13" s="61" customFormat="1" ht="30" customHeight="1" x14ac:dyDescent="0.25">
      <c r="A6" s="365"/>
      <c r="B6" s="365" t="s">
        <v>13</v>
      </c>
      <c r="C6" s="93">
        <f>C7+C12+C15+C19+C22+C27+C30+C33+C38+C40+C44+C49+C52+C56+C59+C62+C67+C71+C75+C79+C84+C87+C91+C98+C100+C104+C108+C111+C115+C118+C121+C125+C127+C130+C132+C135+C138+C141+C144+C148+C150+C153+C155+C162+C168+C172+C177+C180+C183+C185+C189+C192+C196+C199+C202</f>
        <v>222358960.21000001</v>
      </c>
      <c r="D6" s="13">
        <f t="shared" ref="D6:D35" si="0">E6+F6+G6</f>
        <v>222358960.21000001</v>
      </c>
      <c r="E6" s="22">
        <f>E7+E12+E15+E19+E22+E27+E30+E33+E38+E40+E44+E49+E52+E56+E59+E62+E67+E71+E75+E79+E84+E87+E91+E98+E100+E104+E108+E111+E115+E118+E121+E125+E127+E130+E132+E135+E138+E141+E144+E148+E150+E153+E155+E162+E168+E172+E177+E180+E183+E185+E189+E192+E196+E199+E202</f>
        <v>167356490.16263831</v>
      </c>
      <c r="F6" s="22">
        <f>F7+F12+F15+F19+F22+F27+F30+F33+F38+F40+F44+F49+F52+F56+F59+F62+F67+F71+F75+F79+F84+F87+F91+F98+F100+F104+F108+F111+F115+F118+F121+F125+F127+F130+F132+F135+F138+F141+F144+F148+F150+F153+F155+F162+F168+F172+F177+F180+F183+F185+F189+F192+F196+F199+F202</f>
        <v>11113015.244499998</v>
      </c>
      <c r="G6" s="33">
        <f>G7+G12+G15+G19+G22+G27+G30+G33+G38+G40+G44+G49+G52+G56+G59+G62+G67+G71+G75+G79+G84+G87+G91+G98+G100+G104+G108+G111+G115+G118+G121+G125+G127+G130+G132+G135+G138+G141+G144+G148+G150+G153+G155+G162+G168+G172+G177+G180+G183+G185+G189+G192+G196+G199+G202</f>
        <v>43889454.802861698</v>
      </c>
      <c r="H6" s="13">
        <f>I6+J6+K6</f>
        <v>206618041.38999999</v>
      </c>
      <c r="I6" s="24">
        <f>I7+I12+I15+I19+I22+I27+I30+I33+I38+I40+I44+I49+I52+I56+I59+I62+I67+I71+I75+I79+I84+I87+I91+I98+I100+I104+I108+I111+I115+I118+I121+I125+I127+I130+I132+I135+I138+I141+I144+I148+I150+I153+I155+I162+I168+I172+I177+I180+I183+I185+I189+I192+I196+I199+I202</f>
        <v>154093685.63</v>
      </c>
      <c r="J6" s="24">
        <f>J7+J12+J15+J19+J22+J27+J30+J33+J38+J40+J44+J49+J52+J56+J59+J62+J67+J71+J75+J79+J84+J87+J91+J98+J100+J104+J108+J111+J115+J118+J121+J125+J127+J130+J132+J135+J138+J141+J144+J148+J150+J153+J155+J162+J168+J172+J177+J180+J183+J185+J189+J192+J196+J199+J202</f>
        <v>10327661.939999999</v>
      </c>
      <c r="K6" s="154">
        <f>K7+K12+K15+K19+K22+K27+K30+K33+K38+K40+K44+K49+K52+K56+K59+K62+K67+K71+K75+K79+K84+K87+K91+K98+K100+K104+K108+K111+K115+K118+K121+K125+K127+K130+K132+K135+K138+K141+K144+K148+K150+K153+K155+K162+K168+K172+K177+K180+K183+K185+K189+K192+K196+K199+K202</f>
        <v>42196693.820000008</v>
      </c>
      <c r="L6" s="139"/>
      <c r="M6" s="705"/>
    </row>
    <row r="7" spans="1:13" s="292" customFormat="1" ht="27.75" customHeight="1" x14ac:dyDescent="0.25">
      <c r="A7" s="286">
        <v>1</v>
      </c>
      <c r="B7" s="247" t="s">
        <v>133</v>
      </c>
      <c r="C7" s="290">
        <f>SUM(C8:C11)</f>
        <v>6561116.7199999997</v>
      </c>
      <c r="D7" s="288">
        <f t="shared" si="0"/>
        <v>6561116.7199999988</v>
      </c>
      <c r="E7" s="289">
        <f>SUM(E8:E11)</f>
        <v>4813333.5009119995</v>
      </c>
      <c r="F7" s="289">
        <f>SUM(F8:F11)</f>
        <v>328055.83600000001</v>
      </c>
      <c r="G7" s="247">
        <f>SUM(G8:G11)</f>
        <v>1419727.3830879997</v>
      </c>
      <c r="H7" s="288">
        <f>I7+J7+K7</f>
        <v>6561116.7200000007</v>
      </c>
      <c r="I7" s="289">
        <f>SUM(I8:I11)</f>
        <v>4826357.4600000009</v>
      </c>
      <c r="J7" s="289">
        <f>SUM(J8:J11)</f>
        <v>328055.84000000003</v>
      </c>
      <c r="K7" s="291">
        <f>SUM(K8:K11)</f>
        <v>1406703.42</v>
      </c>
      <c r="L7" s="290"/>
      <c r="M7" s="675"/>
    </row>
    <row r="8" spans="1:13" s="254" customFormat="1" ht="15" customHeight="1" outlineLevel="1" x14ac:dyDescent="0.25">
      <c r="A8" s="246"/>
      <c r="B8" s="248" t="s">
        <v>65</v>
      </c>
      <c r="C8" s="252">
        <v>1341468.44</v>
      </c>
      <c r="D8" s="249">
        <f t="shared" si="0"/>
        <v>1341468.44</v>
      </c>
      <c r="E8" s="250">
        <f>C8*0.7356</f>
        <v>986784.18446400005</v>
      </c>
      <c r="F8" s="250">
        <f>C8*5%</f>
        <v>67073.422000000006</v>
      </c>
      <c r="G8" s="251">
        <f>C8-E8-F8</f>
        <v>287610.83353599987</v>
      </c>
      <c r="H8" s="249">
        <f t="shared" ref="H8:H40" si="1">I8+J8+K8</f>
        <v>1341468.44</v>
      </c>
      <c r="I8" s="250">
        <v>989546.89</v>
      </c>
      <c r="J8" s="250">
        <v>67073.42</v>
      </c>
      <c r="K8" s="253">
        <v>284848.13</v>
      </c>
      <c r="L8" s="790" t="s">
        <v>639</v>
      </c>
      <c r="M8" s="620"/>
    </row>
    <row r="9" spans="1:13" s="254" customFormat="1" ht="15" customHeight="1" outlineLevel="1" x14ac:dyDescent="0.25">
      <c r="A9" s="246"/>
      <c r="B9" s="248" t="s">
        <v>66</v>
      </c>
      <c r="C9" s="252">
        <f>1383668.65+330848.4+56275.21</f>
        <v>1770792.2599999998</v>
      </c>
      <c r="D9" s="249">
        <f t="shared" si="0"/>
        <v>1770792.2599999998</v>
      </c>
      <c r="E9" s="250">
        <f>C9*0.7356</f>
        <v>1302594.7864559998</v>
      </c>
      <c r="F9" s="250">
        <f>C9*5%</f>
        <v>88539.612999999998</v>
      </c>
      <c r="G9" s="251">
        <f>C9-E9-F9</f>
        <v>379657.86054399994</v>
      </c>
      <c r="H9" s="249">
        <f t="shared" si="1"/>
        <v>1770792.2600000002</v>
      </c>
      <c r="I9" s="250">
        <f>1264729.73+41396.05</f>
        <v>1306125.78</v>
      </c>
      <c r="J9" s="250">
        <f>85725.85+2813.76</f>
        <v>88539.61</v>
      </c>
      <c r="K9" s="253">
        <f>364061.47+12065.4</f>
        <v>376126.87</v>
      </c>
      <c r="L9" s="792"/>
      <c r="M9" s="620"/>
    </row>
    <row r="10" spans="1:13" s="254" customFormat="1" ht="15" customHeight="1" outlineLevel="1" x14ac:dyDescent="0.25">
      <c r="A10" s="246"/>
      <c r="B10" s="248" t="s">
        <v>561</v>
      </c>
      <c r="C10" s="252">
        <f>2742818.15+525149.56</f>
        <v>3267967.71</v>
      </c>
      <c r="D10" s="249">
        <f t="shared" si="0"/>
        <v>3267967.71</v>
      </c>
      <c r="E10" s="250">
        <f>C10*0.7356</f>
        <v>2403917.0474760002</v>
      </c>
      <c r="F10" s="250">
        <f>C10*5%</f>
        <v>163398.3855</v>
      </c>
      <c r="G10" s="251">
        <f>C10-E10-F10</f>
        <v>700652.27702399984</v>
      </c>
      <c r="H10" s="249">
        <f t="shared" si="1"/>
        <v>3267967.71</v>
      </c>
      <c r="I10" s="250">
        <v>2410647.31</v>
      </c>
      <c r="J10" s="250">
        <v>163398.39000000001</v>
      </c>
      <c r="K10" s="253">
        <v>693922.01</v>
      </c>
      <c r="L10" s="791"/>
      <c r="M10" s="620"/>
    </row>
    <row r="11" spans="1:13" s="254" customFormat="1" ht="15" customHeight="1" outlineLevel="1" x14ac:dyDescent="0.25">
      <c r="A11" s="246"/>
      <c r="B11" s="248" t="s">
        <v>67</v>
      </c>
      <c r="C11" s="252">
        <v>180888.31</v>
      </c>
      <c r="D11" s="249">
        <f t="shared" si="0"/>
        <v>180888.31</v>
      </c>
      <c r="E11" s="250">
        <f>C11*0.6636</f>
        <v>120037.48251599999</v>
      </c>
      <c r="F11" s="250">
        <f>C11*5%</f>
        <v>9044.415500000001</v>
      </c>
      <c r="G11" s="251">
        <f>C11-E11-F11</f>
        <v>51806.411984000006</v>
      </c>
      <c r="H11" s="249">
        <f t="shared" si="1"/>
        <v>180888.31</v>
      </c>
      <c r="I11" s="250">
        <v>120037.48</v>
      </c>
      <c r="J11" s="250">
        <v>9044.42</v>
      </c>
      <c r="K11" s="253">
        <v>51806.41</v>
      </c>
      <c r="L11" s="252" t="s">
        <v>622</v>
      </c>
      <c r="M11" s="620"/>
    </row>
    <row r="12" spans="1:13" s="292" customFormat="1" ht="27" customHeight="1" x14ac:dyDescent="0.25">
      <c r="A12" s="286">
        <v>2</v>
      </c>
      <c r="B12" s="247" t="s">
        <v>134</v>
      </c>
      <c r="C12" s="290">
        <f>SUM(C13:C14)</f>
        <v>9102341.8300000001</v>
      </c>
      <c r="D12" s="288">
        <f t="shared" si="0"/>
        <v>9102341.8300000001</v>
      </c>
      <c r="E12" s="289">
        <f>SUM(E13:E14)</f>
        <v>6680920.5794440005</v>
      </c>
      <c r="F12" s="289">
        <f>SUM(F13:F14)</f>
        <v>455117.0915000001</v>
      </c>
      <c r="G12" s="247">
        <f>SUM(G13:G14)</f>
        <v>1966304.1590559999</v>
      </c>
      <c r="H12" s="288">
        <f t="shared" si="1"/>
        <v>9102341.8300000001</v>
      </c>
      <c r="I12" s="289">
        <f>SUM(I13:I14)</f>
        <v>6688400.7800000003</v>
      </c>
      <c r="J12" s="289">
        <f>SUM(J13:J14)</f>
        <v>455117.08</v>
      </c>
      <c r="K12" s="291">
        <f>SUM(K13:K14)</f>
        <v>1958823.97</v>
      </c>
      <c r="L12" s="290"/>
      <c r="M12" s="675"/>
    </row>
    <row r="13" spans="1:13" s="254" customFormat="1" outlineLevel="1" x14ac:dyDescent="0.25">
      <c r="A13" s="246"/>
      <c r="B13" s="248" t="s">
        <v>555</v>
      </c>
      <c r="C13" s="252">
        <f>8879541.3+117741.58</f>
        <v>8997282.8800000008</v>
      </c>
      <c r="D13" s="249">
        <f t="shared" si="0"/>
        <v>8997282.8800000008</v>
      </c>
      <c r="E13" s="250">
        <f>C13*0.7348</f>
        <v>6611203.4602240007</v>
      </c>
      <c r="F13" s="250">
        <f>C13*5%</f>
        <v>449864.14400000009</v>
      </c>
      <c r="G13" s="251">
        <f>C13-E13-F13</f>
        <v>1936215.275776</v>
      </c>
      <c r="H13" s="249">
        <f t="shared" si="1"/>
        <v>8997282.879999999</v>
      </c>
      <c r="I13" s="250">
        <v>6618683.6600000001</v>
      </c>
      <c r="J13" s="250">
        <v>449864.14</v>
      </c>
      <c r="K13" s="253">
        <v>1928735.08</v>
      </c>
      <c r="L13" s="252" t="s">
        <v>629</v>
      </c>
      <c r="M13" s="620"/>
    </row>
    <row r="14" spans="1:13" s="254" customFormat="1" ht="15" customHeight="1" outlineLevel="1" x14ac:dyDescent="0.25">
      <c r="A14" s="246"/>
      <c r="B14" s="248" t="s">
        <v>67</v>
      </c>
      <c r="C14" s="252">
        <v>105058.95</v>
      </c>
      <c r="D14" s="249">
        <f t="shared" si="0"/>
        <v>105058.94999999998</v>
      </c>
      <c r="E14" s="250">
        <f>C14*0.6636</f>
        <v>69717.119219999993</v>
      </c>
      <c r="F14" s="250">
        <f>C14*5%</f>
        <v>5252.9475000000002</v>
      </c>
      <c r="G14" s="251">
        <f>C14-E14-F14</f>
        <v>30088.883280000002</v>
      </c>
      <c r="H14" s="249">
        <f>I14+J14+K14</f>
        <v>105058.95</v>
      </c>
      <c r="I14" s="250">
        <v>69717.119999999995</v>
      </c>
      <c r="J14" s="250">
        <v>5252.94</v>
      </c>
      <c r="K14" s="253">
        <v>30088.89</v>
      </c>
      <c r="L14" s="252" t="s">
        <v>622</v>
      </c>
      <c r="M14" s="620"/>
    </row>
    <row r="15" spans="1:13" s="292" customFormat="1" ht="27.75" customHeight="1" x14ac:dyDescent="0.25">
      <c r="A15" s="286">
        <v>3</v>
      </c>
      <c r="B15" s="247" t="s">
        <v>135</v>
      </c>
      <c r="C15" s="290">
        <f>SUM(C16:C18)</f>
        <v>4809933.8500000006</v>
      </c>
      <c r="D15" s="288">
        <f t="shared" si="0"/>
        <v>4809933.8500000006</v>
      </c>
      <c r="E15" s="289">
        <f>SUM(E16:E18)</f>
        <v>3529832.4154200004</v>
      </c>
      <c r="F15" s="289">
        <f>SUM(F16:F18)</f>
        <v>240496.69249999998</v>
      </c>
      <c r="G15" s="247">
        <f>SUM(G16:G18)</f>
        <v>1039604.7420800001</v>
      </c>
      <c r="H15" s="288">
        <f t="shared" si="1"/>
        <v>4809933.8499999996</v>
      </c>
      <c r="I15" s="289">
        <f>SUM(I16:I18)</f>
        <v>3538187.34</v>
      </c>
      <c r="J15" s="289">
        <f>SUM(J16:J18)</f>
        <v>240496.68999999997</v>
      </c>
      <c r="K15" s="291">
        <f>SUM(K16:K18)</f>
        <v>1031249.8200000001</v>
      </c>
      <c r="L15" s="290"/>
      <c r="M15" s="675"/>
    </row>
    <row r="16" spans="1:13" s="254" customFormat="1" ht="15" customHeight="1" outlineLevel="1" x14ac:dyDescent="0.25">
      <c r="A16" s="246"/>
      <c r="B16" s="248" t="s">
        <v>66</v>
      </c>
      <c r="C16" s="252">
        <f>1255472.65+198027.6+102161.74</f>
        <v>1555661.99</v>
      </c>
      <c r="D16" s="249">
        <f t="shared" si="0"/>
        <v>1555661.99</v>
      </c>
      <c r="E16" s="250">
        <f>C16*0.7356</f>
        <v>1144344.9598439999</v>
      </c>
      <c r="F16" s="250">
        <f>C16*5%</f>
        <v>77783.099499999997</v>
      </c>
      <c r="G16" s="251">
        <f>C16-E16-F16</f>
        <v>333533.93065600004</v>
      </c>
      <c r="H16" s="249">
        <f t="shared" si="1"/>
        <v>1555661.9900000002</v>
      </c>
      <c r="I16" s="250">
        <f>1069194.78+75150.18</f>
        <v>1144344.96</v>
      </c>
      <c r="J16" s="250">
        <f>72675.01+5108.09</f>
        <v>77783.099999999991</v>
      </c>
      <c r="K16" s="253">
        <f>311630.46+21903.47</f>
        <v>333533.93000000005</v>
      </c>
      <c r="L16" s="790" t="s">
        <v>639</v>
      </c>
      <c r="M16" s="620"/>
    </row>
    <row r="17" spans="1:13" s="254" customFormat="1" ht="15" customHeight="1" outlineLevel="1" x14ac:dyDescent="0.25">
      <c r="A17" s="246"/>
      <c r="B17" s="248" t="s">
        <v>561</v>
      </c>
      <c r="C17" s="252">
        <f>2661897.1+476334.14</f>
        <v>3138231.24</v>
      </c>
      <c r="D17" s="249">
        <f t="shared" si="0"/>
        <v>3138231.24</v>
      </c>
      <c r="E17" s="250">
        <f>C17*0.7356</f>
        <v>2308482.9001440001</v>
      </c>
      <c r="F17" s="250">
        <f>C17*5%</f>
        <v>156911.56200000001</v>
      </c>
      <c r="G17" s="251">
        <f>C17-E17-F17</f>
        <v>672836.77785600012</v>
      </c>
      <c r="H17" s="249">
        <f t="shared" si="1"/>
        <v>3138231.2399999998</v>
      </c>
      <c r="I17" s="250">
        <v>2316837.8199999998</v>
      </c>
      <c r="J17" s="250">
        <v>156911.56</v>
      </c>
      <c r="K17" s="253">
        <v>664481.86</v>
      </c>
      <c r="L17" s="791"/>
      <c r="M17" s="620"/>
    </row>
    <row r="18" spans="1:13" s="254" customFormat="1" ht="15" customHeight="1" outlineLevel="1" x14ac:dyDescent="0.25">
      <c r="A18" s="246"/>
      <c r="B18" s="248" t="s">
        <v>67</v>
      </c>
      <c r="C18" s="252">
        <v>116040.62</v>
      </c>
      <c r="D18" s="249">
        <f t="shared" si="0"/>
        <v>116040.62</v>
      </c>
      <c r="E18" s="250">
        <f>C18*0.6636</f>
        <v>77004.555431999994</v>
      </c>
      <c r="F18" s="250">
        <f>C18*5%</f>
        <v>5802.0309999999999</v>
      </c>
      <c r="G18" s="251">
        <f>C18-E18-F18</f>
        <v>33234.033567999999</v>
      </c>
      <c r="H18" s="249">
        <f t="shared" si="1"/>
        <v>116040.62</v>
      </c>
      <c r="I18" s="250">
        <v>77004.56</v>
      </c>
      <c r="J18" s="250">
        <v>5802.03</v>
      </c>
      <c r="K18" s="253">
        <v>33234.03</v>
      </c>
      <c r="L18" s="252" t="s">
        <v>622</v>
      </c>
      <c r="M18" s="620"/>
    </row>
    <row r="19" spans="1:13" s="292" customFormat="1" ht="29.25" customHeight="1" x14ac:dyDescent="0.25">
      <c r="A19" s="286">
        <v>4</v>
      </c>
      <c r="B19" s="247" t="s">
        <v>562</v>
      </c>
      <c r="C19" s="290">
        <f>SUM(C20:C21)</f>
        <v>13626991.51</v>
      </c>
      <c r="D19" s="288">
        <f t="shared" si="0"/>
        <v>13626991.510000002</v>
      </c>
      <c r="E19" s="289">
        <f>SUM(E20:E21)</f>
        <v>10013113.357116001</v>
      </c>
      <c r="F19" s="289">
        <f>SUM(F20:F21)</f>
        <v>681349.57550000004</v>
      </c>
      <c r="G19" s="247">
        <f>SUM(G20:G21)</f>
        <v>2932528.5773839997</v>
      </c>
      <c r="H19" s="288">
        <f t="shared" si="1"/>
        <v>13626991.509999998</v>
      </c>
      <c r="I19" s="289">
        <f>SUM(I20:I21)</f>
        <v>10013113.359999999</v>
      </c>
      <c r="J19" s="289">
        <f>SUM(J20:J21)</f>
        <v>681349.57499999995</v>
      </c>
      <c r="K19" s="291">
        <f>SUM(K20:K21)</f>
        <v>2932528.5750000002</v>
      </c>
      <c r="L19" s="290"/>
      <c r="M19" s="675"/>
    </row>
    <row r="20" spans="1:13" s="254" customFormat="1" outlineLevel="1" x14ac:dyDescent="0.25">
      <c r="A20" s="246"/>
      <c r="B20" s="248" t="s">
        <v>555</v>
      </c>
      <c r="C20" s="252">
        <f>12305211.1+1230468.6</f>
        <v>13535679.699999999</v>
      </c>
      <c r="D20" s="249">
        <f t="shared" si="0"/>
        <v>13535679.699999999</v>
      </c>
      <c r="E20" s="250">
        <v>9952518.8399999999</v>
      </c>
      <c r="F20" s="250">
        <f>C20*5%</f>
        <v>676783.98499999999</v>
      </c>
      <c r="G20" s="251">
        <f>C20-E20-F20</f>
        <v>2906376.8749999995</v>
      </c>
      <c r="H20" s="249">
        <f t="shared" si="1"/>
        <v>13535679.699999999</v>
      </c>
      <c r="I20" s="250">
        <f>6477623.52+3474895.32</f>
        <v>9952518.8399999999</v>
      </c>
      <c r="J20" s="250">
        <f>440774.6+236009.385</f>
        <v>676783.98499999999</v>
      </c>
      <c r="K20" s="253">
        <f>1897093.875+1009283</f>
        <v>2906376.875</v>
      </c>
      <c r="L20" s="252" t="s">
        <v>626</v>
      </c>
      <c r="M20" s="620"/>
    </row>
    <row r="21" spans="1:13" s="254" customFormat="1" ht="15" customHeight="1" outlineLevel="1" x14ac:dyDescent="0.25">
      <c r="A21" s="246"/>
      <c r="B21" s="248" t="s">
        <v>67</v>
      </c>
      <c r="C21" s="252">
        <v>91311.81</v>
      </c>
      <c r="D21" s="249">
        <f t="shared" si="0"/>
        <v>91311.81</v>
      </c>
      <c r="E21" s="250">
        <f>C21*0.6636</f>
        <v>60594.517115999995</v>
      </c>
      <c r="F21" s="250">
        <f>C21*5%</f>
        <v>4565.5905000000002</v>
      </c>
      <c r="G21" s="251">
        <f>C21-E21-F21</f>
        <v>26151.702384000004</v>
      </c>
      <c r="H21" s="249">
        <f>I21+J21+K21</f>
        <v>91311.81</v>
      </c>
      <c r="I21" s="250">
        <v>60594.52</v>
      </c>
      <c r="J21" s="250">
        <v>4565.59</v>
      </c>
      <c r="K21" s="253">
        <v>26151.7</v>
      </c>
      <c r="L21" s="252" t="s">
        <v>622</v>
      </c>
      <c r="M21" s="620"/>
    </row>
    <row r="22" spans="1:13" s="292" customFormat="1" ht="29.25" customHeight="1" x14ac:dyDescent="0.25">
      <c r="A22" s="286">
        <v>5</v>
      </c>
      <c r="B22" s="247" t="s">
        <v>136</v>
      </c>
      <c r="C22" s="290">
        <f>SUM(C23:C26)</f>
        <v>10076643.020000001</v>
      </c>
      <c r="D22" s="288">
        <f t="shared" si="0"/>
        <v>10076643.020000001</v>
      </c>
      <c r="E22" s="289">
        <f>SUM(E23:E26)</f>
        <v>7397119.9781520013</v>
      </c>
      <c r="F22" s="289">
        <f>SUM(F23:F26)</f>
        <v>503832.15100000007</v>
      </c>
      <c r="G22" s="247">
        <f>SUM(G23:G26)</f>
        <v>2175690.8908479996</v>
      </c>
      <c r="H22" s="288">
        <f t="shared" si="1"/>
        <v>10076643.02</v>
      </c>
      <c r="I22" s="289">
        <f>SUM(I23:I26)</f>
        <v>7412378.6099999994</v>
      </c>
      <c r="J22" s="289">
        <f>SUM(J23:J26)</f>
        <v>503832.15</v>
      </c>
      <c r="K22" s="291">
        <f>SUM(K23:K26)</f>
        <v>2160432.2600000002</v>
      </c>
      <c r="L22" s="290"/>
      <c r="M22" s="675"/>
    </row>
    <row r="23" spans="1:13" s="254" customFormat="1" ht="15" customHeight="1" outlineLevel="1" x14ac:dyDescent="0.25">
      <c r="A23" s="246"/>
      <c r="B23" s="248" t="s">
        <v>65</v>
      </c>
      <c r="C23" s="252">
        <f>1299731.96</f>
        <v>1299731.96</v>
      </c>
      <c r="D23" s="249">
        <f t="shared" si="0"/>
        <v>1299731.96</v>
      </c>
      <c r="E23" s="250">
        <f>C23*0.7356</f>
        <v>956082.829776</v>
      </c>
      <c r="F23" s="250">
        <f>C23*0.05</f>
        <v>64986.597999999998</v>
      </c>
      <c r="G23" s="251">
        <f>C23-E23-F23</f>
        <v>278662.53222399997</v>
      </c>
      <c r="H23" s="249">
        <f t="shared" si="1"/>
        <v>1299731.96</v>
      </c>
      <c r="I23" s="250">
        <v>956082.83</v>
      </c>
      <c r="J23" s="250">
        <v>64986.6</v>
      </c>
      <c r="K23" s="253">
        <v>278662.53000000003</v>
      </c>
      <c r="L23" s="790" t="s">
        <v>661</v>
      </c>
      <c r="M23" s="620"/>
    </row>
    <row r="24" spans="1:13" s="254" customFormat="1" ht="15" customHeight="1" outlineLevel="1" x14ac:dyDescent="0.25">
      <c r="A24" s="246"/>
      <c r="B24" s="248" t="s">
        <v>66</v>
      </c>
      <c r="C24" s="252">
        <f>1801411.02+135177.26</f>
        <v>1936588.28</v>
      </c>
      <c r="D24" s="249">
        <f t="shared" si="0"/>
        <v>1936588.2800000003</v>
      </c>
      <c r="E24" s="250">
        <f>C24*0.7356</f>
        <v>1424554.338768</v>
      </c>
      <c r="F24" s="250">
        <f>C24*0.05</f>
        <v>96829.414000000004</v>
      </c>
      <c r="G24" s="251">
        <f>C24-E24-F24</f>
        <v>415204.52723200002</v>
      </c>
      <c r="H24" s="249">
        <f t="shared" si="1"/>
        <v>1936588.28</v>
      </c>
      <c r="I24" s="250">
        <v>1424554.34</v>
      </c>
      <c r="J24" s="250">
        <v>96829.41</v>
      </c>
      <c r="K24" s="253">
        <v>415204.53</v>
      </c>
      <c r="L24" s="792"/>
      <c r="M24" s="620"/>
    </row>
    <row r="25" spans="1:13" s="254" customFormat="1" ht="15" customHeight="1" outlineLevel="1" x14ac:dyDescent="0.25">
      <c r="A25" s="246"/>
      <c r="B25" s="248" t="s">
        <v>555</v>
      </c>
      <c r="C25" s="252">
        <v>6628397.4000000004</v>
      </c>
      <c r="D25" s="249">
        <f t="shared" si="0"/>
        <v>6628397.4000000004</v>
      </c>
      <c r="E25" s="250">
        <f>C25*0.7356</f>
        <v>4875849.1274400009</v>
      </c>
      <c r="F25" s="250">
        <f>C25*0.05</f>
        <v>331419.87000000005</v>
      </c>
      <c r="G25" s="251">
        <f>C25-E25-F25</f>
        <v>1421128.4025599994</v>
      </c>
      <c r="H25" s="249">
        <f t="shared" si="1"/>
        <v>6628397.4000000004</v>
      </c>
      <c r="I25" s="250">
        <v>4891107.76</v>
      </c>
      <c r="J25" s="250">
        <v>331419.87</v>
      </c>
      <c r="K25" s="253">
        <v>1405869.77</v>
      </c>
      <c r="L25" s="791"/>
      <c r="M25" s="620"/>
    </row>
    <row r="26" spans="1:13" s="166" customFormat="1" ht="15" customHeight="1" outlineLevel="1" x14ac:dyDescent="0.25">
      <c r="A26" s="246"/>
      <c r="B26" s="248" t="s">
        <v>67</v>
      </c>
      <c r="C26" s="252">
        <v>211925.38</v>
      </c>
      <c r="D26" s="249">
        <f t="shared" si="0"/>
        <v>211925.38</v>
      </c>
      <c r="E26" s="250">
        <f>C26*0.6636</f>
        <v>140633.682168</v>
      </c>
      <c r="F26" s="250">
        <f>C26*5%</f>
        <v>10596.269</v>
      </c>
      <c r="G26" s="251">
        <f>C26-E26-F26</f>
        <v>60695.428832000005</v>
      </c>
      <c r="H26" s="249">
        <f t="shared" si="1"/>
        <v>211925.37999999998</v>
      </c>
      <c r="I26" s="250">
        <v>140633.68</v>
      </c>
      <c r="J26" s="250">
        <v>10596.27</v>
      </c>
      <c r="K26" s="253">
        <v>60695.43</v>
      </c>
      <c r="L26" s="252" t="s">
        <v>622</v>
      </c>
      <c r="M26" s="716"/>
    </row>
    <row r="27" spans="1:13" s="292" customFormat="1" ht="29.25" customHeight="1" x14ac:dyDescent="0.25">
      <c r="A27" s="286">
        <v>6</v>
      </c>
      <c r="B27" s="247" t="s">
        <v>159</v>
      </c>
      <c r="C27" s="290">
        <f>SUM(C28:C29)</f>
        <v>7887416.6899999995</v>
      </c>
      <c r="D27" s="288">
        <f t="shared" si="0"/>
        <v>7887416.6899999995</v>
      </c>
      <c r="E27" s="289">
        <f>SUM(E28:E29)</f>
        <v>5801983.7171639996</v>
      </c>
      <c r="F27" s="289">
        <f>SUM(F28:F29)</f>
        <v>394370.8345</v>
      </c>
      <c r="G27" s="247">
        <f>SUM(G28:G29)</f>
        <v>1691062.1383359998</v>
      </c>
      <c r="H27" s="288">
        <f t="shared" si="1"/>
        <v>7887416.6899999995</v>
      </c>
      <c r="I27" s="289">
        <f>SUM(I28:I29)</f>
        <v>5801983.7199999997</v>
      </c>
      <c r="J27" s="289">
        <f>SUM(J28:J29)</f>
        <v>394370.84</v>
      </c>
      <c r="K27" s="291">
        <f>SUM(K28:K29)</f>
        <v>1691062.1300000001</v>
      </c>
      <c r="L27" s="290"/>
      <c r="M27" s="675"/>
    </row>
    <row r="28" spans="1:13" s="254" customFormat="1" ht="15" customHeight="1" outlineLevel="1" x14ac:dyDescent="0.25">
      <c r="A28" s="246"/>
      <c r="B28" s="248" t="s">
        <v>555</v>
      </c>
      <c r="C28" s="252">
        <v>7770537.7199999997</v>
      </c>
      <c r="D28" s="249">
        <f t="shared" ref="D28" si="2">E28+F28+G28</f>
        <v>7770537.7199999997</v>
      </c>
      <c r="E28" s="250">
        <f>C28*0.7356</f>
        <v>5716007.5468319999</v>
      </c>
      <c r="F28" s="250">
        <f>C28*5%</f>
        <v>388526.886</v>
      </c>
      <c r="G28" s="251">
        <f>C28-E28-F28</f>
        <v>1666003.2871679999</v>
      </c>
      <c r="H28" s="249">
        <f t="shared" si="1"/>
        <v>7770537.7199999997</v>
      </c>
      <c r="I28" s="250">
        <v>5716007.5499999998</v>
      </c>
      <c r="J28" s="250">
        <v>388526.89</v>
      </c>
      <c r="K28" s="253">
        <v>1666003.28</v>
      </c>
      <c r="L28" s="252" t="s">
        <v>729</v>
      </c>
      <c r="M28" s="620"/>
    </row>
    <row r="29" spans="1:13" s="254" customFormat="1" ht="15" customHeight="1" outlineLevel="1" x14ac:dyDescent="0.25">
      <c r="A29" s="246"/>
      <c r="B29" s="248" t="s">
        <v>67</v>
      </c>
      <c r="C29" s="252">
        <v>116878.97</v>
      </c>
      <c r="D29" s="249">
        <f t="shared" si="0"/>
        <v>116878.97</v>
      </c>
      <c r="E29" s="250">
        <f>C29*0.7356</f>
        <v>85976.170332000009</v>
      </c>
      <c r="F29" s="250">
        <f>C29*5%</f>
        <v>5843.9485000000004</v>
      </c>
      <c r="G29" s="251">
        <f>C29-E29-F29</f>
        <v>25058.851167999994</v>
      </c>
      <c r="H29" s="249">
        <f t="shared" si="1"/>
        <v>116878.97</v>
      </c>
      <c r="I29" s="250">
        <v>85976.17</v>
      </c>
      <c r="J29" s="250">
        <v>5843.95</v>
      </c>
      <c r="K29" s="253">
        <v>25058.85</v>
      </c>
      <c r="L29" s="252" t="s">
        <v>659</v>
      </c>
      <c r="M29" s="620"/>
    </row>
    <row r="30" spans="1:13" s="292" customFormat="1" ht="30" customHeight="1" x14ac:dyDescent="0.25">
      <c r="A30" s="286">
        <v>7</v>
      </c>
      <c r="B30" s="247" t="s">
        <v>160</v>
      </c>
      <c r="C30" s="290">
        <f>SUM(C31:C32)</f>
        <v>2307315.6599999997</v>
      </c>
      <c r="D30" s="288">
        <f t="shared" si="0"/>
        <v>2307315.66</v>
      </c>
      <c r="E30" s="289">
        <f>SUM(E31:E32)</f>
        <v>1749443.325432</v>
      </c>
      <c r="F30" s="289">
        <f>SUM(F31:F32)</f>
        <v>115365.783</v>
      </c>
      <c r="G30" s="247">
        <f>SUM(G31:G32)</f>
        <v>442506.55156799988</v>
      </c>
      <c r="H30" s="288">
        <f t="shared" si="1"/>
        <v>2307315.66</v>
      </c>
      <c r="I30" s="289">
        <f>SUM(I31:I32)</f>
        <v>1751529.46</v>
      </c>
      <c r="J30" s="289">
        <f>SUM(J31:J32)</f>
        <v>115365.79000000001</v>
      </c>
      <c r="K30" s="291">
        <f>SUM(K31:K32)</f>
        <v>440420.41</v>
      </c>
      <c r="L30" s="290"/>
      <c r="M30" s="675"/>
    </row>
    <row r="31" spans="1:13" s="254" customFormat="1" ht="15" customHeight="1" outlineLevel="1" x14ac:dyDescent="0.25">
      <c r="A31" s="246"/>
      <c r="B31" s="248" t="s">
        <v>555</v>
      </c>
      <c r="C31" s="252">
        <v>2218619.2999999998</v>
      </c>
      <c r="D31" s="249">
        <f t="shared" si="0"/>
        <v>2218619.2999999998</v>
      </c>
      <c r="E31" s="250">
        <f>C31*0.75912</f>
        <v>1684198.2830159999</v>
      </c>
      <c r="F31" s="250">
        <f>C31*5%</f>
        <v>110930.965</v>
      </c>
      <c r="G31" s="251">
        <f>C31-E31-F31</f>
        <v>423490.0519839999</v>
      </c>
      <c r="H31" s="249">
        <f t="shared" si="1"/>
        <v>2218619.2999999998</v>
      </c>
      <c r="I31" s="250">
        <v>1686284.41</v>
      </c>
      <c r="J31" s="250">
        <v>110930.97</v>
      </c>
      <c r="K31" s="253">
        <v>421403.92</v>
      </c>
      <c r="L31" s="252" t="s">
        <v>729</v>
      </c>
      <c r="M31" s="620"/>
    </row>
    <row r="32" spans="1:13" s="254" customFormat="1" ht="15" customHeight="1" outlineLevel="1" x14ac:dyDescent="0.25">
      <c r="A32" s="246"/>
      <c r="B32" s="248" t="s">
        <v>67</v>
      </c>
      <c r="C32" s="252">
        <v>88696.36</v>
      </c>
      <c r="D32" s="249">
        <f t="shared" si="0"/>
        <v>88696.360000000015</v>
      </c>
      <c r="E32" s="250">
        <f>C32*0.7356</f>
        <v>65245.042416000004</v>
      </c>
      <c r="F32" s="250">
        <f>C32*5%</f>
        <v>4434.8180000000002</v>
      </c>
      <c r="G32" s="251">
        <f>C32-E32-F32</f>
        <v>19016.499583999997</v>
      </c>
      <c r="H32" s="249">
        <f t="shared" si="1"/>
        <v>88696.36</v>
      </c>
      <c r="I32" s="250">
        <v>65245.05</v>
      </c>
      <c r="J32" s="250">
        <v>4434.82</v>
      </c>
      <c r="K32" s="253">
        <v>19016.490000000002</v>
      </c>
      <c r="L32" s="252" t="s">
        <v>659</v>
      </c>
      <c r="M32" s="620"/>
    </row>
    <row r="33" spans="1:13" s="108" customFormat="1" ht="30" customHeight="1" x14ac:dyDescent="0.25">
      <c r="A33" s="88">
        <v>8</v>
      </c>
      <c r="B33" s="229" t="s">
        <v>137</v>
      </c>
      <c r="C33" s="84">
        <f>SUM(C34:C37)</f>
        <v>4232758.72</v>
      </c>
      <c r="D33" s="228">
        <f t="shared" si="0"/>
        <v>4232758.7200000007</v>
      </c>
      <c r="E33" s="201">
        <f>SUM(E34:E37)</f>
        <v>3100818.1249920004</v>
      </c>
      <c r="F33" s="201">
        <f>SUM(F34:F37)</f>
        <v>211637.93600000002</v>
      </c>
      <c r="G33" s="229">
        <f>SUM(G34:G37)</f>
        <v>920302.65900800005</v>
      </c>
      <c r="H33" s="228">
        <f t="shared" si="1"/>
        <v>4232758.72</v>
      </c>
      <c r="I33" s="201">
        <f>SUM(I34:I37)</f>
        <v>3113617.32</v>
      </c>
      <c r="J33" s="201">
        <f>SUM(J34:J37)</f>
        <v>211637.93999999997</v>
      </c>
      <c r="K33" s="223">
        <f>SUM(K34:K37)</f>
        <v>907503.46</v>
      </c>
      <c r="L33" s="84"/>
      <c r="M33" s="656"/>
    </row>
    <row r="34" spans="1:13" s="254" customFormat="1" ht="15" customHeight="1" outlineLevel="1" x14ac:dyDescent="0.25">
      <c r="A34" s="246"/>
      <c r="B34" s="248" t="s">
        <v>555</v>
      </c>
      <c r="C34" s="252">
        <f>3821255.44+233736.76</f>
        <v>4054992.2</v>
      </c>
      <c r="D34" s="249">
        <f t="shared" si="0"/>
        <v>4054992.2</v>
      </c>
      <c r="E34" s="250">
        <f>C34*0.7356</f>
        <v>2982852.2623200002</v>
      </c>
      <c r="F34" s="250">
        <f>C34*5%</f>
        <v>202749.61000000002</v>
      </c>
      <c r="G34" s="251">
        <f>C34-E34-F34</f>
        <v>869390.32767999999</v>
      </c>
      <c r="H34" s="249">
        <f t="shared" si="1"/>
        <v>4054992.1999999997</v>
      </c>
      <c r="I34" s="250">
        <v>2995651.46</v>
      </c>
      <c r="J34" s="250">
        <v>202749.61</v>
      </c>
      <c r="K34" s="253">
        <v>856591.13</v>
      </c>
      <c r="L34" s="252" t="s">
        <v>675</v>
      </c>
      <c r="M34" s="620"/>
    </row>
    <row r="35" spans="1:13" s="166" customFormat="1" ht="15" customHeight="1" outlineLevel="1" x14ac:dyDescent="0.25">
      <c r="A35" s="89"/>
      <c r="B35" s="283" t="s">
        <v>557</v>
      </c>
      <c r="C35" s="87"/>
      <c r="D35" s="264">
        <f t="shared" si="0"/>
        <v>0</v>
      </c>
      <c r="E35" s="202"/>
      <c r="F35" s="202"/>
      <c r="G35" s="265"/>
      <c r="H35" s="264">
        <f t="shared" si="1"/>
        <v>0</v>
      </c>
      <c r="I35" s="202"/>
      <c r="J35" s="202"/>
      <c r="K35" s="224"/>
      <c r="L35" s="87"/>
      <c r="M35" s="716"/>
    </row>
    <row r="36" spans="1:13" s="166" customFormat="1" ht="15" customHeight="1" outlineLevel="1" x14ac:dyDescent="0.25">
      <c r="A36" s="89"/>
      <c r="B36" s="283" t="s">
        <v>554</v>
      </c>
      <c r="C36" s="87"/>
      <c r="D36" s="264">
        <f t="shared" ref="D36:D64" si="3">E36+F36+G36</f>
        <v>0</v>
      </c>
      <c r="E36" s="202"/>
      <c r="F36" s="202"/>
      <c r="G36" s="265"/>
      <c r="H36" s="264">
        <f t="shared" si="1"/>
        <v>0</v>
      </c>
      <c r="I36" s="202"/>
      <c r="J36" s="202"/>
      <c r="K36" s="224"/>
      <c r="L36" s="87"/>
      <c r="M36" s="716"/>
    </row>
    <row r="37" spans="1:13" s="166" customFormat="1" ht="15" customHeight="1" outlineLevel="1" x14ac:dyDescent="0.25">
      <c r="A37" s="246"/>
      <c r="B37" s="248" t="s">
        <v>67</v>
      </c>
      <c r="C37" s="252">
        <v>177766.52</v>
      </c>
      <c r="D37" s="249">
        <f t="shared" si="3"/>
        <v>177766.52</v>
      </c>
      <c r="E37" s="250">
        <f>C37*0.6636</f>
        <v>117965.86267199999</v>
      </c>
      <c r="F37" s="250">
        <f>C37*5%</f>
        <v>8888.3259999999991</v>
      </c>
      <c r="G37" s="251">
        <f>C37-E37-F37</f>
        <v>50912.331328</v>
      </c>
      <c r="H37" s="249">
        <f>I37+J37+K37</f>
        <v>177766.52000000002</v>
      </c>
      <c r="I37" s="250">
        <v>117965.86</v>
      </c>
      <c r="J37" s="250">
        <v>8888.33</v>
      </c>
      <c r="K37" s="253">
        <v>50912.33</v>
      </c>
      <c r="L37" s="252" t="s">
        <v>622</v>
      </c>
      <c r="M37" s="716"/>
    </row>
    <row r="38" spans="1:13" s="108" customFormat="1" ht="30" customHeight="1" x14ac:dyDescent="0.25">
      <c r="A38" s="286">
        <v>9</v>
      </c>
      <c r="B38" s="247" t="s">
        <v>161</v>
      </c>
      <c r="C38" s="290">
        <f>SUM(C39:C39)</f>
        <v>3347689.85</v>
      </c>
      <c r="D38" s="288">
        <f t="shared" si="3"/>
        <v>3347689.8499999996</v>
      </c>
      <c r="E38" s="289">
        <f>SUM(E39:E39)</f>
        <v>2462560.65</v>
      </c>
      <c r="F38" s="289">
        <f>SUM(F39:F39)</f>
        <v>167384.49</v>
      </c>
      <c r="G38" s="247">
        <f>SUM(G39:G39)</f>
        <v>717744.7100000002</v>
      </c>
      <c r="H38" s="288">
        <f t="shared" si="1"/>
        <v>3347689.8499999996</v>
      </c>
      <c r="I38" s="289">
        <f>SUM(I39:I39)</f>
        <v>2462560.65</v>
      </c>
      <c r="J38" s="289">
        <f>SUM(J39:J39)</f>
        <v>167384.49</v>
      </c>
      <c r="K38" s="291">
        <f>SUM(K39:K39)</f>
        <v>717744.71</v>
      </c>
      <c r="L38" s="290"/>
      <c r="M38" s="656"/>
    </row>
    <row r="39" spans="1:13" s="166" customFormat="1" ht="15" customHeight="1" outlineLevel="1" x14ac:dyDescent="0.25">
      <c r="A39" s="246"/>
      <c r="B39" s="248" t="s">
        <v>555</v>
      </c>
      <c r="C39" s="252">
        <f>3214909.99+132779.86</f>
        <v>3347689.85</v>
      </c>
      <c r="D39" s="249">
        <f t="shared" si="3"/>
        <v>3347689.8499999996</v>
      </c>
      <c r="E39" s="250">
        <f>ROUND(C39*0.7356,2)</f>
        <v>2462560.65</v>
      </c>
      <c r="F39" s="250">
        <f>ROUND(C39*0.05,2)</f>
        <v>167384.49</v>
      </c>
      <c r="G39" s="251">
        <f>C39-E39-F39</f>
        <v>717744.7100000002</v>
      </c>
      <c r="H39" s="249">
        <f t="shared" si="1"/>
        <v>3347689.8499999996</v>
      </c>
      <c r="I39" s="250">
        <v>2462560.65</v>
      </c>
      <c r="J39" s="250">
        <v>167384.49</v>
      </c>
      <c r="K39" s="253">
        <v>717744.71</v>
      </c>
      <c r="L39" s="252" t="s">
        <v>636</v>
      </c>
      <c r="M39" s="716"/>
    </row>
    <row r="40" spans="1:13" s="292" customFormat="1" ht="25.5" customHeight="1" x14ac:dyDescent="0.25">
      <c r="A40" s="286">
        <v>10</v>
      </c>
      <c r="B40" s="247" t="s">
        <v>138</v>
      </c>
      <c r="C40" s="290">
        <f>SUM(C41:C43)</f>
        <v>730019.22</v>
      </c>
      <c r="D40" s="288">
        <f>E40+F40+G40</f>
        <v>730019.22</v>
      </c>
      <c r="E40" s="289">
        <f>SUM(E41:E43)</f>
        <v>532140.322392</v>
      </c>
      <c r="F40" s="289">
        <f>SUM(F41:F43)</f>
        <v>36500.961000000003</v>
      </c>
      <c r="G40" s="289">
        <f>SUM(G41:G43)</f>
        <v>161377.93660799996</v>
      </c>
      <c r="H40" s="288">
        <f t="shared" si="1"/>
        <v>730019.22</v>
      </c>
      <c r="I40" s="289">
        <f>SUM(I41:I43)</f>
        <v>537002.14</v>
      </c>
      <c r="J40" s="289">
        <f>SUM(J41:J43)</f>
        <v>36500.959999999999</v>
      </c>
      <c r="K40" s="291">
        <f>SUM(K41:K43)</f>
        <v>156516.12000000002</v>
      </c>
      <c r="L40" s="290"/>
      <c r="M40" s="675"/>
    </row>
    <row r="41" spans="1:13" s="254" customFormat="1" ht="15" customHeight="1" outlineLevel="1" x14ac:dyDescent="0.25">
      <c r="A41" s="246"/>
      <c r="B41" s="248" t="s">
        <v>68</v>
      </c>
      <c r="C41" s="252">
        <v>382248</v>
      </c>
      <c r="D41" s="249">
        <f t="shared" si="3"/>
        <v>382248</v>
      </c>
      <c r="E41" s="250">
        <f>C41*0.7356</f>
        <v>281181.62880000001</v>
      </c>
      <c r="F41" s="250">
        <f>C41*0.05</f>
        <v>19112.400000000001</v>
      </c>
      <c r="G41" s="251">
        <f>C41-E41-F41</f>
        <v>81953.9712</v>
      </c>
      <c r="H41" s="249">
        <f>I41+J41+K41</f>
        <v>382248</v>
      </c>
      <c r="I41" s="250">
        <v>283986.81</v>
      </c>
      <c r="J41" s="250">
        <v>19112.41</v>
      </c>
      <c r="K41" s="253">
        <v>79148.78</v>
      </c>
      <c r="L41" s="252" t="s">
        <v>686</v>
      </c>
      <c r="M41" s="620"/>
    </row>
    <row r="42" spans="1:13" s="254" customFormat="1" ht="15" customHeight="1" outlineLevel="1" x14ac:dyDescent="0.25">
      <c r="A42" s="246"/>
      <c r="B42" s="248" t="s">
        <v>65</v>
      </c>
      <c r="C42" s="252">
        <v>280246</v>
      </c>
      <c r="D42" s="249">
        <f t="shared" si="3"/>
        <v>280246</v>
      </c>
      <c r="E42" s="250">
        <f>C42*0.7356</f>
        <v>206148.95760000002</v>
      </c>
      <c r="F42" s="250">
        <f>C42*0.05</f>
        <v>14012.300000000001</v>
      </c>
      <c r="G42" s="251">
        <f>C42-E42-F42</f>
        <v>60084.742399999974</v>
      </c>
      <c r="H42" s="249">
        <f>I42+J42+K42</f>
        <v>280246</v>
      </c>
      <c r="I42" s="250">
        <v>208205.59</v>
      </c>
      <c r="J42" s="250">
        <v>14012.3</v>
      </c>
      <c r="K42" s="253">
        <v>58028.11</v>
      </c>
      <c r="L42" s="252" t="s">
        <v>686</v>
      </c>
      <c r="M42" s="620"/>
    </row>
    <row r="43" spans="1:13" s="166" customFormat="1" ht="15" customHeight="1" outlineLevel="1" x14ac:dyDescent="0.25">
      <c r="A43" s="246"/>
      <c r="B43" s="248" t="s">
        <v>67</v>
      </c>
      <c r="C43" s="252">
        <v>67525.22</v>
      </c>
      <c r="D43" s="249">
        <f t="shared" si="3"/>
        <v>67525.22</v>
      </c>
      <c r="E43" s="250">
        <f>C43*0.6636</f>
        <v>44809.735992000002</v>
      </c>
      <c r="F43" s="250">
        <f>C43*5%</f>
        <v>3376.2610000000004</v>
      </c>
      <c r="G43" s="251">
        <f>C43-E43-F43</f>
        <v>19339.223008000001</v>
      </c>
      <c r="H43" s="249">
        <f>I43+J43+K43</f>
        <v>67525.22</v>
      </c>
      <c r="I43" s="250">
        <v>44809.74</v>
      </c>
      <c r="J43" s="250">
        <v>3376.25</v>
      </c>
      <c r="K43" s="253">
        <v>19339.23</v>
      </c>
      <c r="L43" s="252" t="s">
        <v>622</v>
      </c>
      <c r="M43" s="716"/>
    </row>
    <row r="44" spans="1:13" s="108" customFormat="1" ht="27" customHeight="1" x14ac:dyDescent="0.25">
      <c r="A44" s="88">
        <v>11</v>
      </c>
      <c r="B44" s="229" t="s">
        <v>139</v>
      </c>
      <c r="C44" s="84">
        <f>SUM(C45:C48)</f>
        <v>1904693.8499999999</v>
      </c>
      <c r="D44" s="228">
        <f t="shared" si="3"/>
        <v>1904693.8499999999</v>
      </c>
      <c r="E44" s="201">
        <f>SUM(E45:E48)</f>
        <v>1515888.688996</v>
      </c>
      <c r="F44" s="201">
        <f>SUM(F45:F48)</f>
        <v>95234.705499999996</v>
      </c>
      <c r="G44" s="229">
        <f>SUM(G45:G48)</f>
        <v>293570.45550399995</v>
      </c>
      <c r="H44" s="228">
        <f>I44+J44+K44</f>
        <v>143091.91</v>
      </c>
      <c r="I44" s="201">
        <f>SUM(I45:I48)</f>
        <v>105258.41</v>
      </c>
      <c r="J44" s="201">
        <f>SUM(J45:J48)</f>
        <v>7154.59</v>
      </c>
      <c r="K44" s="223">
        <f>SUM(K45:K48)</f>
        <v>30678.909999999996</v>
      </c>
      <c r="L44" s="84"/>
      <c r="M44" s="656"/>
    </row>
    <row r="45" spans="1:13" s="166" customFormat="1" ht="15" customHeight="1" outlineLevel="1" x14ac:dyDescent="0.25">
      <c r="A45" s="89"/>
      <c r="B45" s="283" t="s">
        <v>557</v>
      </c>
      <c r="C45" s="87"/>
      <c r="D45" s="264">
        <f t="shared" si="3"/>
        <v>0</v>
      </c>
      <c r="E45" s="202"/>
      <c r="F45" s="202"/>
      <c r="G45" s="265"/>
      <c r="H45" s="264"/>
      <c r="I45" s="202"/>
      <c r="J45" s="202"/>
      <c r="K45" s="224"/>
      <c r="L45" s="87"/>
      <c r="M45" s="716"/>
    </row>
    <row r="46" spans="1:13" s="254" customFormat="1" ht="15" customHeight="1" outlineLevel="1" x14ac:dyDescent="0.25">
      <c r="A46" s="246"/>
      <c r="B46" s="248" t="s">
        <v>564</v>
      </c>
      <c r="C46" s="252">
        <v>1761601.94</v>
      </c>
      <c r="D46" s="249">
        <f t="shared" si="3"/>
        <v>1761601.9400000002</v>
      </c>
      <c r="E46" s="250">
        <v>1410630.28</v>
      </c>
      <c r="F46" s="250">
        <v>88080.11</v>
      </c>
      <c r="G46" s="251">
        <v>262891.55</v>
      </c>
      <c r="H46" s="249"/>
      <c r="I46" s="250"/>
      <c r="J46" s="250"/>
      <c r="K46" s="253"/>
      <c r="L46" s="252" t="s">
        <v>873</v>
      </c>
      <c r="M46" s="620">
        <v>42664</v>
      </c>
    </row>
    <row r="47" spans="1:13" s="166" customFormat="1" ht="15" customHeight="1" outlineLevel="1" x14ac:dyDescent="0.25">
      <c r="A47" s="89"/>
      <c r="B47" s="283" t="s">
        <v>554</v>
      </c>
      <c r="C47" s="87"/>
      <c r="D47" s="264">
        <f t="shared" si="3"/>
        <v>0</v>
      </c>
      <c r="E47" s="202"/>
      <c r="F47" s="202"/>
      <c r="G47" s="265"/>
      <c r="H47" s="264"/>
      <c r="I47" s="202"/>
      <c r="J47" s="202"/>
      <c r="K47" s="224"/>
      <c r="L47" s="87"/>
      <c r="M47" s="716"/>
    </row>
    <row r="48" spans="1:13" s="166" customFormat="1" ht="15" customHeight="1" outlineLevel="1" x14ac:dyDescent="0.25">
      <c r="A48" s="246"/>
      <c r="B48" s="248" t="s">
        <v>67</v>
      </c>
      <c r="C48" s="252">
        <f>69672.75+73419.16</f>
        <v>143091.91</v>
      </c>
      <c r="D48" s="249">
        <f t="shared" si="3"/>
        <v>143091.91</v>
      </c>
      <c r="E48" s="250">
        <f>C48*0.7356</f>
        <v>105258.40899600001</v>
      </c>
      <c r="F48" s="250">
        <f>C48*5%</f>
        <v>7154.5955000000004</v>
      </c>
      <c r="G48" s="251">
        <f>C48-E48-F48</f>
        <v>30678.905503999991</v>
      </c>
      <c r="H48" s="249">
        <f>I48+J48+K48</f>
        <v>143091.91</v>
      </c>
      <c r="I48" s="250">
        <f>46234.83+59023.58</f>
        <v>105258.41</v>
      </c>
      <c r="J48" s="250">
        <f>3483.64+3670.95</f>
        <v>7154.59</v>
      </c>
      <c r="K48" s="253">
        <f>19954.28+10724.63</f>
        <v>30678.909999999996</v>
      </c>
      <c r="L48" s="252" t="s">
        <v>646</v>
      </c>
      <c r="M48" s="716"/>
    </row>
    <row r="49" spans="1:13" s="292" customFormat="1" ht="32.25" customHeight="1" x14ac:dyDescent="0.25">
      <c r="A49" s="286">
        <v>12</v>
      </c>
      <c r="B49" s="247" t="s">
        <v>162</v>
      </c>
      <c r="C49" s="290">
        <f>SUM(C50:C51)</f>
        <v>4969875.2</v>
      </c>
      <c r="D49" s="288">
        <f t="shared" si="3"/>
        <v>4969875.2</v>
      </c>
      <c r="E49" s="289">
        <f>SUM(E50:E51)</f>
        <v>3955374.5783480005</v>
      </c>
      <c r="F49" s="289">
        <f>SUM(F50:F51)</f>
        <v>248493.76450000002</v>
      </c>
      <c r="G49" s="247">
        <f>SUM(G50:G51)</f>
        <v>766006.85715199995</v>
      </c>
      <c r="H49" s="288">
        <f t="shared" ref="H49:H55" si="4">I49+J49+K49</f>
        <v>4969875.2</v>
      </c>
      <c r="I49" s="289">
        <f>SUM(I50:I51)</f>
        <v>3955374.5799999996</v>
      </c>
      <c r="J49" s="289">
        <f>SUM(J50:J51)</f>
        <v>248493.76</v>
      </c>
      <c r="K49" s="291">
        <f>SUM(K50:K51)</f>
        <v>766006.86</v>
      </c>
      <c r="L49" s="290"/>
      <c r="M49" s="675"/>
    </row>
    <row r="50" spans="1:13" s="254" customFormat="1" ht="15" customHeight="1" outlineLevel="1" x14ac:dyDescent="0.25">
      <c r="A50" s="246"/>
      <c r="B50" s="248" t="s">
        <v>555</v>
      </c>
      <c r="C50" s="252">
        <v>4855333.91</v>
      </c>
      <c r="D50" s="249">
        <f t="shared" si="3"/>
        <v>4855333.91</v>
      </c>
      <c r="E50" s="250">
        <v>3871118.0054240003</v>
      </c>
      <c r="F50" s="250">
        <v>242766.7</v>
      </c>
      <c r="G50" s="251">
        <v>741449.20457599999</v>
      </c>
      <c r="H50" s="249">
        <f t="shared" si="4"/>
        <v>4855333.91</v>
      </c>
      <c r="I50" s="250">
        <v>3871118.01</v>
      </c>
      <c r="J50" s="250">
        <v>242766.7</v>
      </c>
      <c r="K50" s="253">
        <v>741449.2</v>
      </c>
      <c r="L50" s="252" t="s">
        <v>832</v>
      </c>
      <c r="M50" s="620">
        <v>42625</v>
      </c>
    </row>
    <row r="51" spans="1:13" s="254" customFormat="1" ht="15" customHeight="1" outlineLevel="1" x14ac:dyDescent="0.25">
      <c r="A51" s="246"/>
      <c r="B51" s="248" t="s">
        <v>67</v>
      </c>
      <c r="C51" s="252">
        <v>114541.29</v>
      </c>
      <c r="D51" s="249">
        <f t="shared" si="3"/>
        <v>114541.28999999998</v>
      </c>
      <c r="E51" s="250">
        <f>C51*0.7356</f>
        <v>84256.572923999993</v>
      </c>
      <c r="F51" s="250">
        <f>C51*5%</f>
        <v>5727.0645000000004</v>
      </c>
      <c r="G51" s="251">
        <f>C51-E51-F51</f>
        <v>24557.652576</v>
      </c>
      <c r="H51" s="249">
        <f t="shared" si="4"/>
        <v>114541.29000000001</v>
      </c>
      <c r="I51" s="250">
        <v>84256.57</v>
      </c>
      <c r="J51" s="250">
        <v>5727.06</v>
      </c>
      <c r="K51" s="253">
        <v>24557.66</v>
      </c>
      <c r="L51" s="252" t="s">
        <v>659</v>
      </c>
      <c r="M51" s="620"/>
    </row>
    <row r="52" spans="1:13" s="108" customFormat="1" ht="30.75" customHeight="1" x14ac:dyDescent="0.25">
      <c r="A52" s="88">
        <v>13</v>
      </c>
      <c r="B52" s="229" t="s">
        <v>163</v>
      </c>
      <c r="C52" s="84">
        <f>SUM(C53:C55)</f>
        <v>107551.87</v>
      </c>
      <c r="D52" s="228">
        <f t="shared" si="3"/>
        <v>107551.87</v>
      </c>
      <c r="E52" s="201">
        <f>SUM(E53:E55)</f>
        <v>79115.155572000003</v>
      </c>
      <c r="F52" s="201">
        <f>SUM(F53:F55)</f>
        <v>5377.5934999999999</v>
      </c>
      <c r="G52" s="229">
        <f>SUM(G53:G55)</f>
        <v>23059.120927999993</v>
      </c>
      <c r="H52" s="228">
        <f t="shared" si="4"/>
        <v>107551.87</v>
      </c>
      <c r="I52" s="201">
        <f>SUM(I53:I55)</f>
        <v>79115.149999999994</v>
      </c>
      <c r="J52" s="201">
        <f>SUM(J53:J55)</f>
        <v>5377.59</v>
      </c>
      <c r="K52" s="223">
        <f>SUM(K53:K55)</f>
        <v>23059.13</v>
      </c>
      <c r="L52" s="84"/>
      <c r="M52" s="656"/>
    </row>
    <row r="53" spans="1:13" s="166" customFormat="1" ht="15" customHeight="1" outlineLevel="1" x14ac:dyDescent="0.25">
      <c r="A53" s="89"/>
      <c r="B53" s="283" t="s">
        <v>555</v>
      </c>
      <c r="C53" s="87"/>
      <c r="D53" s="264">
        <f t="shared" si="3"/>
        <v>0</v>
      </c>
      <c r="E53" s="202"/>
      <c r="F53" s="202"/>
      <c r="G53" s="265"/>
      <c r="H53" s="264">
        <f t="shared" si="4"/>
        <v>0</v>
      </c>
      <c r="I53" s="202"/>
      <c r="J53" s="202"/>
      <c r="K53" s="224"/>
      <c r="L53" s="87"/>
      <c r="M53" s="716"/>
    </row>
    <row r="54" spans="1:13" s="166" customFormat="1" ht="15" customHeight="1" outlineLevel="1" x14ac:dyDescent="0.25">
      <c r="A54" s="89"/>
      <c r="B54" s="283" t="s">
        <v>554</v>
      </c>
      <c r="C54" s="87"/>
      <c r="D54" s="264">
        <f t="shared" si="3"/>
        <v>0</v>
      </c>
      <c r="E54" s="202"/>
      <c r="F54" s="202"/>
      <c r="G54" s="265"/>
      <c r="H54" s="264">
        <f t="shared" si="4"/>
        <v>0</v>
      </c>
      <c r="I54" s="202"/>
      <c r="J54" s="202"/>
      <c r="K54" s="224"/>
      <c r="L54" s="87"/>
      <c r="M54" s="716"/>
    </row>
    <row r="55" spans="1:13" s="254" customFormat="1" ht="15" customHeight="1" outlineLevel="1" x14ac:dyDescent="0.25">
      <c r="A55" s="246"/>
      <c r="B55" s="248" t="s">
        <v>67</v>
      </c>
      <c r="C55" s="252">
        <v>107551.87</v>
      </c>
      <c r="D55" s="249">
        <f t="shared" si="3"/>
        <v>107551.87</v>
      </c>
      <c r="E55" s="250">
        <f>C55*0.7356</f>
        <v>79115.155572000003</v>
      </c>
      <c r="F55" s="250">
        <f>C55*5%</f>
        <v>5377.5934999999999</v>
      </c>
      <c r="G55" s="251">
        <f>C55-E55-F55</f>
        <v>23059.120927999993</v>
      </c>
      <c r="H55" s="249">
        <f t="shared" si="4"/>
        <v>107551.87</v>
      </c>
      <c r="I55" s="250">
        <v>79115.149999999994</v>
      </c>
      <c r="J55" s="250">
        <v>5377.59</v>
      </c>
      <c r="K55" s="253">
        <v>23059.13</v>
      </c>
      <c r="L55" s="252" t="s">
        <v>659</v>
      </c>
      <c r="M55" s="620"/>
    </row>
    <row r="56" spans="1:13" s="292" customFormat="1" ht="25.5" customHeight="1" x14ac:dyDescent="0.25">
      <c r="A56" s="286">
        <v>14</v>
      </c>
      <c r="B56" s="247" t="s">
        <v>140</v>
      </c>
      <c r="C56" s="290">
        <f>SUM(C57:C58)</f>
        <v>5226198.2500000009</v>
      </c>
      <c r="D56" s="288">
        <f t="shared" si="3"/>
        <v>5226198.2500000009</v>
      </c>
      <c r="E56" s="289">
        <f>SUM(E57:E58)</f>
        <v>3833310.6123960009</v>
      </c>
      <c r="F56" s="289">
        <f>SUM(F57:F58)</f>
        <v>261309.91250000006</v>
      </c>
      <c r="G56" s="247">
        <f>SUM(G57:G58)</f>
        <v>1131577.725104</v>
      </c>
      <c r="H56" s="288">
        <f>I56+J56+K56</f>
        <v>5226198.25</v>
      </c>
      <c r="I56" s="289">
        <f>SUM(I57:I58)</f>
        <v>3840210.48</v>
      </c>
      <c r="J56" s="289">
        <f>SUM(J57:J58)</f>
        <v>261309.91</v>
      </c>
      <c r="K56" s="291">
        <f>SUM(K57:K58)</f>
        <v>1124677.8600000001</v>
      </c>
      <c r="L56" s="290"/>
      <c r="M56" s="675"/>
    </row>
    <row r="57" spans="1:13" s="254" customFormat="1" ht="15" customHeight="1" outlineLevel="1" x14ac:dyDescent="0.25">
      <c r="A57" s="246"/>
      <c r="B57" s="248" t="s">
        <v>555</v>
      </c>
      <c r="C57" s="252">
        <f>4612632.98+462289.78+54367.32</f>
        <v>5129290.080000001</v>
      </c>
      <c r="D57" s="249">
        <f t="shared" si="3"/>
        <v>5129290.080000001</v>
      </c>
      <c r="E57" s="250">
        <f>C57*0.7348</f>
        <v>3769002.3507840009</v>
      </c>
      <c r="F57" s="250">
        <f>C57*5%</f>
        <v>256464.50400000007</v>
      </c>
      <c r="G57" s="251">
        <f>C57-E57-F57</f>
        <v>1103823.2252159999</v>
      </c>
      <c r="H57" s="249">
        <f>I57+J57+K57</f>
        <v>5129290.08</v>
      </c>
      <c r="I57" s="250">
        <v>3775902.22</v>
      </c>
      <c r="J57" s="250">
        <v>256464.5</v>
      </c>
      <c r="K57" s="253">
        <v>1096923.3600000001</v>
      </c>
      <c r="L57" s="252" t="s">
        <v>629</v>
      </c>
      <c r="M57" s="620"/>
    </row>
    <row r="58" spans="1:13" s="166" customFormat="1" ht="15" customHeight="1" outlineLevel="1" x14ac:dyDescent="0.25">
      <c r="A58" s="246"/>
      <c r="B58" s="248" t="s">
        <v>67</v>
      </c>
      <c r="C58" s="252">
        <v>96908.17</v>
      </c>
      <c r="D58" s="249">
        <f t="shared" si="3"/>
        <v>96908.17</v>
      </c>
      <c r="E58" s="250">
        <f>C58*0.6636</f>
        <v>64308.261611999995</v>
      </c>
      <c r="F58" s="250">
        <f>C58*5%</f>
        <v>4845.4085000000005</v>
      </c>
      <c r="G58" s="251">
        <f>C58-E58-F58</f>
        <v>27754.499888000002</v>
      </c>
      <c r="H58" s="249">
        <f>I58+J58+K58</f>
        <v>96908.17</v>
      </c>
      <c r="I58" s="250">
        <v>64308.26</v>
      </c>
      <c r="J58" s="250">
        <v>4845.41</v>
      </c>
      <c r="K58" s="253">
        <v>27754.5</v>
      </c>
      <c r="L58" s="252" t="s">
        <v>622</v>
      </c>
      <c r="M58" s="716"/>
    </row>
    <row r="59" spans="1:13" s="292" customFormat="1" ht="37.5" customHeight="1" x14ac:dyDescent="0.25">
      <c r="A59" s="286">
        <v>15</v>
      </c>
      <c r="B59" s="247" t="s">
        <v>141</v>
      </c>
      <c r="C59" s="290">
        <f>SUM(C60:C61)</f>
        <v>5751271.9900000002</v>
      </c>
      <c r="D59" s="288">
        <f t="shared" si="3"/>
        <v>5751271.9899999993</v>
      </c>
      <c r="E59" s="289">
        <f>SUM(E60:E61)</f>
        <v>4223335.6685640002</v>
      </c>
      <c r="F59" s="289">
        <f>SUM(F60:F61)</f>
        <v>287563.59950000001</v>
      </c>
      <c r="G59" s="247">
        <f>SUM(G60:G61)</f>
        <v>1240372.7219359996</v>
      </c>
      <c r="H59" s="288">
        <f t="shared" ref="H59:H65" si="5">I59+J59+K59</f>
        <v>5751271.9900000002</v>
      </c>
      <c r="I59" s="289">
        <f>SUM(I60:I61)</f>
        <v>4230635.6800000006</v>
      </c>
      <c r="J59" s="289">
        <f>SUM(J60:J61)</f>
        <v>287563.58</v>
      </c>
      <c r="K59" s="291">
        <f>SUM(K60:K61)</f>
        <v>1233072.73</v>
      </c>
      <c r="L59" s="290"/>
      <c r="M59" s="675"/>
    </row>
    <row r="60" spans="1:13" s="254" customFormat="1" ht="15" customHeight="1" outlineLevel="1" x14ac:dyDescent="0.25">
      <c r="A60" s="246"/>
      <c r="B60" s="248" t="s">
        <v>555</v>
      </c>
      <c r="C60" s="252">
        <v>5649883</v>
      </c>
      <c r="D60" s="249">
        <f t="shared" ref="D60" si="6">E60+F60+G60</f>
        <v>5649883</v>
      </c>
      <c r="E60" s="250">
        <f>C60*0.7356</f>
        <v>4156053.9348000004</v>
      </c>
      <c r="F60" s="250">
        <f>C60*5%</f>
        <v>282494.15000000002</v>
      </c>
      <c r="G60" s="251">
        <f>C60-E60-F60</f>
        <v>1211334.9151999997</v>
      </c>
      <c r="H60" s="249">
        <f t="shared" si="5"/>
        <v>5649883</v>
      </c>
      <c r="I60" s="250">
        <v>4163353.95</v>
      </c>
      <c r="J60" s="250">
        <v>282494.13</v>
      </c>
      <c r="K60" s="253">
        <v>1204034.92</v>
      </c>
      <c r="L60" s="252" t="s">
        <v>686</v>
      </c>
      <c r="M60" s="620"/>
    </row>
    <row r="61" spans="1:13" s="166" customFormat="1" ht="15" customHeight="1" outlineLevel="1" x14ac:dyDescent="0.25">
      <c r="A61" s="246"/>
      <c r="B61" s="248" t="s">
        <v>67</v>
      </c>
      <c r="C61" s="252">
        <v>101388.99</v>
      </c>
      <c r="D61" s="249">
        <f t="shared" si="3"/>
        <v>101388.99</v>
      </c>
      <c r="E61" s="250">
        <f>C61*0.6636</f>
        <v>67281.733764000004</v>
      </c>
      <c r="F61" s="250">
        <f>C61*5%</f>
        <v>5069.4495000000006</v>
      </c>
      <c r="G61" s="251">
        <f>C61-E61-F61</f>
        <v>29037.806735999999</v>
      </c>
      <c r="H61" s="249">
        <f t="shared" si="5"/>
        <v>101388.98999999999</v>
      </c>
      <c r="I61" s="250">
        <v>67281.73</v>
      </c>
      <c r="J61" s="250">
        <v>5069.45</v>
      </c>
      <c r="K61" s="253">
        <v>29037.81</v>
      </c>
      <c r="L61" s="252" t="s">
        <v>622</v>
      </c>
      <c r="M61" s="716"/>
    </row>
    <row r="62" spans="1:13" s="108" customFormat="1" ht="30" customHeight="1" x14ac:dyDescent="0.25">
      <c r="A62" s="88">
        <v>16</v>
      </c>
      <c r="B62" s="229" t="s">
        <v>142</v>
      </c>
      <c r="C62" s="84">
        <f>SUM(C63:C66)</f>
        <v>6485486.6600000001</v>
      </c>
      <c r="D62" s="228">
        <f t="shared" si="3"/>
        <v>6485486.6600000001</v>
      </c>
      <c r="E62" s="201">
        <f>SUM(E63:E66)</f>
        <v>4756036.1534160003</v>
      </c>
      <c r="F62" s="201">
        <f>SUM(F63:F66)</f>
        <v>324274.33299999998</v>
      </c>
      <c r="G62" s="229">
        <f>SUM(G63:G66)</f>
        <v>1405176.1735839997</v>
      </c>
      <c r="H62" s="228">
        <f t="shared" si="5"/>
        <v>6485486.6600000001</v>
      </c>
      <c r="I62" s="201">
        <f>SUM(I63:I66)</f>
        <v>4770723.99</v>
      </c>
      <c r="J62" s="201">
        <f>SUM(J63:J66)</f>
        <v>324274.33</v>
      </c>
      <c r="K62" s="223">
        <f>SUM(K63:K66)</f>
        <v>1390488.3399999999</v>
      </c>
      <c r="L62" s="84"/>
      <c r="M62" s="656"/>
    </row>
    <row r="63" spans="1:13" s="254" customFormat="1" ht="15" customHeight="1" outlineLevel="1" x14ac:dyDescent="0.25">
      <c r="A63" s="246"/>
      <c r="B63" s="248" t="s">
        <v>555</v>
      </c>
      <c r="C63" s="252">
        <v>6281488.9699999997</v>
      </c>
      <c r="D63" s="249">
        <f t="shared" si="3"/>
        <v>6281488.9699999997</v>
      </c>
      <c r="E63" s="250">
        <f>C63*0.7356</f>
        <v>4620663.286332</v>
      </c>
      <c r="F63" s="250">
        <f>C63*5%</f>
        <v>314074.4485</v>
      </c>
      <c r="G63" s="251">
        <f>C63-E63-F63</f>
        <v>1346751.2351679998</v>
      </c>
      <c r="H63" s="249">
        <f t="shared" si="5"/>
        <v>6281488.9700000007</v>
      </c>
      <c r="I63" s="250">
        <v>4635351.12</v>
      </c>
      <c r="J63" s="250">
        <v>314074.45</v>
      </c>
      <c r="K63" s="253">
        <v>1332063.3999999999</v>
      </c>
      <c r="L63" s="252" t="s">
        <v>674</v>
      </c>
      <c r="M63" s="620"/>
    </row>
    <row r="64" spans="1:13" s="166" customFormat="1" ht="15" customHeight="1" outlineLevel="1" x14ac:dyDescent="0.25">
      <c r="A64" s="89"/>
      <c r="B64" s="283" t="s">
        <v>557</v>
      </c>
      <c r="C64" s="87"/>
      <c r="D64" s="264">
        <f t="shared" si="3"/>
        <v>0</v>
      </c>
      <c r="E64" s="202"/>
      <c r="F64" s="202"/>
      <c r="G64" s="265"/>
      <c r="H64" s="264">
        <f t="shared" si="5"/>
        <v>0</v>
      </c>
      <c r="I64" s="202"/>
      <c r="J64" s="202"/>
      <c r="K64" s="224"/>
      <c r="L64" s="87"/>
      <c r="M64" s="716"/>
    </row>
    <row r="65" spans="1:13" s="166" customFormat="1" ht="15" customHeight="1" outlineLevel="1" x14ac:dyDescent="0.25">
      <c r="A65" s="89"/>
      <c r="B65" s="283" t="s">
        <v>554</v>
      </c>
      <c r="C65" s="87"/>
      <c r="D65" s="264">
        <f t="shared" ref="D65:D91" si="7">E65+F65+G65</f>
        <v>0</v>
      </c>
      <c r="E65" s="202"/>
      <c r="F65" s="202"/>
      <c r="G65" s="265"/>
      <c r="H65" s="264">
        <f t="shared" si="5"/>
        <v>0</v>
      </c>
      <c r="I65" s="202"/>
      <c r="J65" s="202"/>
      <c r="K65" s="224"/>
      <c r="L65" s="87"/>
      <c r="M65" s="716"/>
    </row>
    <row r="66" spans="1:13" s="166" customFormat="1" ht="15" customHeight="1" outlineLevel="1" x14ac:dyDescent="0.25">
      <c r="A66" s="246"/>
      <c r="B66" s="248" t="s">
        <v>67</v>
      </c>
      <c r="C66" s="252">
        <v>203997.69</v>
      </c>
      <c r="D66" s="249">
        <f t="shared" si="7"/>
        <v>203997.69</v>
      </c>
      <c r="E66" s="250">
        <f>C66*0.6636</f>
        <v>135372.867084</v>
      </c>
      <c r="F66" s="250">
        <f>C66*5%</f>
        <v>10199.8845</v>
      </c>
      <c r="G66" s="251">
        <f>C66-E66-F66</f>
        <v>58424.938416000005</v>
      </c>
      <c r="H66" s="249">
        <f>I66+J66+K66</f>
        <v>203997.69</v>
      </c>
      <c r="I66" s="250">
        <v>135372.87</v>
      </c>
      <c r="J66" s="250">
        <v>10199.879999999999</v>
      </c>
      <c r="K66" s="251">
        <v>58424.94</v>
      </c>
      <c r="L66" s="252" t="s">
        <v>622</v>
      </c>
      <c r="M66" s="716"/>
    </row>
    <row r="67" spans="1:13" s="108" customFormat="1" ht="34.5" customHeight="1" x14ac:dyDescent="0.25">
      <c r="A67" s="88">
        <v>17</v>
      </c>
      <c r="B67" s="229" t="s">
        <v>143</v>
      </c>
      <c r="C67" s="84">
        <f>SUM(C68:C70)</f>
        <v>90245.36</v>
      </c>
      <c r="D67" s="228">
        <f t="shared" si="7"/>
        <v>90245.36</v>
      </c>
      <c r="E67" s="201">
        <f>SUM(E68:E70)</f>
        <v>59886.820895999997</v>
      </c>
      <c r="F67" s="201">
        <f>SUM(F68:F70)</f>
        <v>4512.268</v>
      </c>
      <c r="G67" s="229">
        <f>SUM(G68:G70)</f>
        <v>25846.271104000003</v>
      </c>
      <c r="H67" s="228">
        <f t="shared" ref="H67:H82" si="8">I67+J67+K67</f>
        <v>90245.36</v>
      </c>
      <c r="I67" s="201">
        <f>SUM(I68:I70)</f>
        <v>59886.82</v>
      </c>
      <c r="J67" s="201">
        <f>SUM(J68:J70)</f>
        <v>4512.2700000000004</v>
      </c>
      <c r="K67" s="223">
        <f>SUM(K68:K70)</f>
        <v>25846.27</v>
      </c>
      <c r="L67" s="84"/>
      <c r="M67" s="656"/>
    </row>
    <row r="68" spans="1:13" s="166" customFormat="1" ht="15" customHeight="1" outlineLevel="1" x14ac:dyDescent="0.25">
      <c r="A68" s="89"/>
      <c r="B68" s="283" t="s">
        <v>557</v>
      </c>
      <c r="C68" s="87"/>
      <c r="D68" s="264">
        <f t="shared" si="7"/>
        <v>0</v>
      </c>
      <c r="E68" s="202"/>
      <c r="F68" s="202"/>
      <c r="G68" s="265"/>
      <c r="H68" s="264">
        <f t="shared" si="8"/>
        <v>0</v>
      </c>
      <c r="I68" s="202"/>
      <c r="J68" s="202"/>
      <c r="K68" s="224"/>
      <c r="L68" s="87"/>
      <c r="M68" s="716"/>
    </row>
    <row r="69" spans="1:13" s="166" customFormat="1" ht="15" customHeight="1" outlineLevel="1" x14ac:dyDescent="0.25">
      <c r="A69" s="89"/>
      <c r="B69" s="283" t="s">
        <v>554</v>
      </c>
      <c r="C69" s="87"/>
      <c r="D69" s="264">
        <f t="shared" si="7"/>
        <v>0</v>
      </c>
      <c r="E69" s="202"/>
      <c r="F69" s="202"/>
      <c r="G69" s="265"/>
      <c r="H69" s="264">
        <f t="shared" si="8"/>
        <v>0</v>
      </c>
      <c r="I69" s="202"/>
      <c r="J69" s="202"/>
      <c r="K69" s="224"/>
      <c r="L69" s="87"/>
      <c r="M69" s="716"/>
    </row>
    <row r="70" spans="1:13" s="166" customFormat="1" ht="15" customHeight="1" outlineLevel="1" x14ac:dyDescent="0.25">
      <c r="A70" s="246"/>
      <c r="B70" s="248" t="s">
        <v>67</v>
      </c>
      <c r="C70" s="252">
        <v>90245.36</v>
      </c>
      <c r="D70" s="249">
        <f t="shared" si="7"/>
        <v>90245.36</v>
      </c>
      <c r="E70" s="250">
        <f>C70*0.6636</f>
        <v>59886.820895999997</v>
      </c>
      <c r="F70" s="250">
        <f>C70*5%</f>
        <v>4512.268</v>
      </c>
      <c r="G70" s="251">
        <f>C70-E70-F70</f>
        <v>25846.271104000003</v>
      </c>
      <c r="H70" s="249">
        <f t="shared" si="8"/>
        <v>90245.36</v>
      </c>
      <c r="I70" s="250">
        <v>59886.82</v>
      </c>
      <c r="J70" s="250">
        <v>4512.2700000000004</v>
      </c>
      <c r="K70" s="251">
        <v>25846.27</v>
      </c>
      <c r="L70" s="252" t="s">
        <v>622</v>
      </c>
      <c r="M70" s="716"/>
    </row>
    <row r="71" spans="1:13" s="108" customFormat="1" ht="29.25" customHeight="1" x14ac:dyDescent="0.25">
      <c r="A71" s="88">
        <v>18</v>
      </c>
      <c r="B71" s="229" t="s">
        <v>144</v>
      </c>
      <c r="C71" s="84">
        <f>SUM(C72:C74)</f>
        <v>89975.6</v>
      </c>
      <c r="D71" s="228">
        <f t="shared" si="7"/>
        <v>89975.6</v>
      </c>
      <c r="E71" s="201">
        <f>SUM(E72:E74)</f>
        <v>59707.80816</v>
      </c>
      <c r="F71" s="201">
        <f>SUM(F72:F74)</f>
        <v>4498.7800000000007</v>
      </c>
      <c r="G71" s="229">
        <f>SUM(G72:G74)</f>
        <v>25769.011840000006</v>
      </c>
      <c r="H71" s="228">
        <f>I71+J71+K71</f>
        <v>89975.599999999991</v>
      </c>
      <c r="I71" s="201">
        <f>SUM(I72:I74)</f>
        <v>59707.81</v>
      </c>
      <c r="J71" s="201">
        <f>SUM(J72:J74)</f>
        <v>4498.78</v>
      </c>
      <c r="K71" s="223">
        <f>SUM(K72:K74)</f>
        <v>25769.01</v>
      </c>
      <c r="L71" s="84"/>
      <c r="M71" s="656"/>
    </row>
    <row r="72" spans="1:13" s="166" customFormat="1" ht="15" customHeight="1" outlineLevel="1" x14ac:dyDescent="0.25">
      <c r="A72" s="89"/>
      <c r="B72" s="283" t="s">
        <v>557</v>
      </c>
      <c r="C72" s="87"/>
      <c r="D72" s="264">
        <f t="shared" si="7"/>
        <v>0</v>
      </c>
      <c r="E72" s="202"/>
      <c r="F72" s="202"/>
      <c r="G72" s="265"/>
      <c r="H72" s="264">
        <f t="shared" si="8"/>
        <v>0</v>
      </c>
      <c r="I72" s="202"/>
      <c r="J72" s="202"/>
      <c r="K72" s="224"/>
      <c r="L72" s="87"/>
      <c r="M72" s="716"/>
    </row>
    <row r="73" spans="1:13" s="166" customFormat="1" ht="15" customHeight="1" outlineLevel="1" x14ac:dyDescent="0.25">
      <c r="A73" s="89"/>
      <c r="B73" s="283" t="s">
        <v>554</v>
      </c>
      <c r="C73" s="87"/>
      <c r="D73" s="264">
        <f t="shared" si="7"/>
        <v>0</v>
      </c>
      <c r="E73" s="202"/>
      <c r="F73" s="202"/>
      <c r="G73" s="265"/>
      <c r="H73" s="264">
        <f t="shared" si="8"/>
        <v>0</v>
      </c>
      <c r="I73" s="202"/>
      <c r="J73" s="202"/>
      <c r="K73" s="224"/>
      <c r="L73" s="87"/>
      <c r="M73" s="716"/>
    </row>
    <row r="74" spans="1:13" s="166" customFormat="1" ht="15" customHeight="1" outlineLevel="1" x14ac:dyDescent="0.25">
      <c r="A74" s="246"/>
      <c r="B74" s="248" t="s">
        <v>67</v>
      </c>
      <c r="C74" s="252">
        <v>89975.6</v>
      </c>
      <c r="D74" s="249">
        <f t="shared" si="7"/>
        <v>89975.6</v>
      </c>
      <c r="E74" s="250">
        <f>C74*0.6636</f>
        <v>59707.80816</v>
      </c>
      <c r="F74" s="250">
        <f>C74*5%</f>
        <v>4498.7800000000007</v>
      </c>
      <c r="G74" s="251">
        <f>C74-E74-F74</f>
        <v>25769.011840000006</v>
      </c>
      <c r="H74" s="249">
        <f>I74+J74+K74</f>
        <v>89975.599999999991</v>
      </c>
      <c r="I74" s="250">
        <v>59707.81</v>
      </c>
      <c r="J74" s="250">
        <v>4498.78</v>
      </c>
      <c r="K74" s="251">
        <v>25769.01</v>
      </c>
      <c r="L74" s="252" t="s">
        <v>622</v>
      </c>
      <c r="M74" s="716"/>
    </row>
    <row r="75" spans="1:13" s="108" customFormat="1" ht="27.75" customHeight="1" x14ac:dyDescent="0.25">
      <c r="A75" s="88">
        <v>19</v>
      </c>
      <c r="B75" s="229" t="s">
        <v>145</v>
      </c>
      <c r="C75" s="84">
        <f>SUM(C76:C78)</f>
        <v>84506.41</v>
      </c>
      <c r="D75" s="228">
        <f t="shared" si="7"/>
        <v>84506.41</v>
      </c>
      <c r="E75" s="201">
        <f>SUM(E76:E78)</f>
        <v>56078.453675999997</v>
      </c>
      <c r="F75" s="201">
        <f>SUM(F76:F78)</f>
        <v>4225.3205000000007</v>
      </c>
      <c r="G75" s="229">
        <f>SUM(G76:G78)</f>
        <v>24202.635824000005</v>
      </c>
      <c r="H75" s="228">
        <f t="shared" si="8"/>
        <v>84506.41</v>
      </c>
      <c r="I75" s="201">
        <f>SUM(I76:I78)</f>
        <v>56078.45</v>
      </c>
      <c r="J75" s="201">
        <f>SUM(J76:J78)</f>
        <v>4225.32</v>
      </c>
      <c r="K75" s="223">
        <f>SUM(K76:K78)</f>
        <v>24202.639999999999</v>
      </c>
      <c r="L75" s="84"/>
      <c r="M75" s="656"/>
    </row>
    <row r="76" spans="1:13" s="166" customFormat="1" ht="15" customHeight="1" outlineLevel="1" x14ac:dyDescent="0.25">
      <c r="A76" s="89"/>
      <c r="B76" s="283" t="s">
        <v>557</v>
      </c>
      <c r="C76" s="87"/>
      <c r="D76" s="264">
        <f t="shared" si="7"/>
        <v>0</v>
      </c>
      <c r="E76" s="202"/>
      <c r="F76" s="202"/>
      <c r="G76" s="265"/>
      <c r="H76" s="264">
        <f t="shared" si="8"/>
        <v>0</v>
      </c>
      <c r="I76" s="202"/>
      <c r="J76" s="202"/>
      <c r="K76" s="224"/>
      <c r="L76" s="87"/>
      <c r="M76" s="716"/>
    </row>
    <row r="77" spans="1:13" s="166" customFormat="1" ht="15" customHeight="1" outlineLevel="1" x14ac:dyDescent="0.25">
      <c r="A77" s="89"/>
      <c r="B77" s="283" t="s">
        <v>554</v>
      </c>
      <c r="C77" s="87"/>
      <c r="D77" s="264">
        <f t="shared" si="7"/>
        <v>0</v>
      </c>
      <c r="E77" s="202"/>
      <c r="F77" s="202"/>
      <c r="G77" s="265"/>
      <c r="H77" s="264">
        <f t="shared" si="8"/>
        <v>0</v>
      </c>
      <c r="I77" s="202"/>
      <c r="J77" s="202"/>
      <c r="K77" s="224"/>
      <c r="L77" s="87"/>
      <c r="M77" s="716"/>
    </row>
    <row r="78" spans="1:13" s="166" customFormat="1" ht="15" customHeight="1" outlineLevel="1" x14ac:dyDescent="0.25">
      <c r="A78" s="246"/>
      <c r="B78" s="248" t="s">
        <v>67</v>
      </c>
      <c r="C78" s="252">
        <v>84506.41</v>
      </c>
      <c r="D78" s="249">
        <f t="shared" si="7"/>
        <v>84506.41</v>
      </c>
      <c r="E78" s="250">
        <f>C78*0.6636</f>
        <v>56078.453675999997</v>
      </c>
      <c r="F78" s="250">
        <f>C78*5%</f>
        <v>4225.3205000000007</v>
      </c>
      <c r="G78" s="251">
        <f>C78-E78-F78</f>
        <v>24202.635824000005</v>
      </c>
      <c r="H78" s="249">
        <f t="shared" si="8"/>
        <v>84506.41</v>
      </c>
      <c r="I78" s="250">
        <v>56078.45</v>
      </c>
      <c r="J78" s="250">
        <v>4225.32</v>
      </c>
      <c r="K78" s="251">
        <v>24202.639999999999</v>
      </c>
      <c r="L78" s="252" t="s">
        <v>622</v>
      </c>
      <c r="M78" s="716"/>
    </row>
    <row r="79" spans="1:13" s="108" customFormat="1" ht="33" customHeight="1" x14ac:dyDescent="0.25">
      <c r="A79" s="88">
        <v>20</v>
      </c>
      <c r="B79" s="229" t="s">
        <v>146</v>
      </c>
      <c r="C79" s="84">
        <f>SUM(C80:C83)</f>
        <v>4338651.12</v>
      </c>
      <c r="D79" s="228">
        <f t="shared" si="7"/>
        <v>4338651.1199999992</v>
      </c>
      <c r="E79" s="201">
        <f>SUM(E80:E83)</f>
        <v>3180396.6659519998</v>
      </c>
      <c r="F79" s="201">
        <f>SUM(F80:F83)</f>
        <v>216932.55600000001</v>
      </c>
      <c r="G79" s="229">
        <f>SUM(G80:G83)</f>
        <v>941321.89804799971</v>
      </c>
      <c r="H79" s="228">
        <f t="shared" si="8"/>
        <v>4338651.12</v>
      </c>
      <c r="I79" s="201">
        <f>SUM(I80:I83)</f>
        <v>3191511.76</v>
      </c>
      <c r="J79" s="201">
        <f>SUM(J80:J83)</f>
        <v>216932.56</v>
      </c>
      <c r="K79" s="223">
        <f>SUM(K80:K83)</f>
        <v>930206.8</v>
      </c>
      <c r="L79" s="84"/>
      <c r="M79" s="656"/>
    </row>
    <row r="80" spans="1:13" s="254" customFormat="1" ht="15" customHeight="1" outlineLevel="1" x14ac:dyDescent="0.25">
      <c r="A80" s="246"/>
      <c r="B80" s="248" t="s">
        <v>555</v>
      </c>
      <c r="C80" s="252">
        <f>3888262.32+296012.44</f>
        <v>4184274.76</v>
      </c>
      <c r="D80" s="249">
        <f t="shared" si="7"/>
        <v>4184274.76</v>
      </c>
      <c r="E80" s="250">
        <f>C80*0.7356</f>
        <v>3077952.513456</v>
      </c>
      <c r="F80" s="250">
        <f>C80*5%</f>
        <v>209213.73800000001</v>
      </c>
      <c r="G80" s="251">
        <f>C80-E80-F80</f>
        <v>897108.50854399975</v>
      </c>
      <c r="H80" s="249">
        <f t="shared" si="8"/>
        <v>4184274.76</v>
      </c>
      <c r="I80" s="250">
        <v>3089067.61</v>
      </c>
      <c r="J80" s="250">
        <v>209213.74</v>
      </c>
      <c r="K80" s="253">
        <v>885993.41</v>
      </c>
      <c r="L80" s="252" t="s">
        <v>674</v>
      </c>
      <c r="M80" s="620"/>
    </row>
    <row r="81" spans="1:13" s="166" customFormat="1" ht="15" customHeight="1" outlineLevel="1" x14ac:dyDescent="0.25">
      <c r="A81" s="89"/>
      <c r="B81" s="283" t="s">
        <v>557</v>
      </c>
      <c r="C81" s="87"/>
      <c r="D81" s="264">
        <f t="shared" si="7"/>
        <v>0</v>
      </c>
      <c r="E81" s="202"/>
      <c r="F81" s="202"/>
      <c r="G81" s="265"/>
      <c r="H81" s="264">
        <f t="shared" si="8"/>
        <v>0</v>
      </c>
      <c r="I81" s="202"/>
      <c r="J81" s="202"/>
      <c r="K81" s="224"/>
      <c r="L81" s="87"/>
      <c r="M81" s="716"/>
    </row>
    <row r="82" spans="1:13" s="166" customFormat="1" ht="15" customHeight="1" outlineLevel="1" x14ac:dyDescent="0.25">
      <c r="A82" s="89"/>
      <c r="B82" s="283" t="s">
        <v>554</v>
      </c>
      <c r="C82" s="87"/>
      <c r="D82" s="264">
        <f t="shared" si="7"/>
        <v>0</v>
      </c>
      <c r="E82" s="202"/>
      <c r="F82" s="202"/>
      <c r="G82" s="265"/>
      <c r="H82" s="264">
        <f t="shared" si="8"/>
        <v>0</v>
      </c>
      <c r="I82" s="202"/>
      <c r="J82" s="202"/>
      <c r="K82" s="224"/>
      <c r="L82" s="87"/>
      <c r="M82" s="716"/>
    </row>
    <row r="83" spans="1:13" s="166" customFormat="1" ht="15" customHeight="1" outlineLevel="1" x14ac:dyDescent="0.25">
      <c r="A83" s="246"/>
      <c r="B83" s="248" t="s">
        <v>67</v>
      </c>
      <c r="C83" s="252">
        <v>154376.35999999999</v>
      </c>
      <c r="D83" s="249">
        <f t="shared" si="7"/>
        <v>154376.35999999999</v>
      </c>
      <c r="E83" s="250">
        <f>C83*0.6636</f>
        <v>102444.15249599998</v>
      </c>
      <c r="F83" s="250">
        <f>C83*5%</f>
        <v>7718.8179999999993</v>
      </c>
      <c r="G83" s="251">
        <f>C83-E83-F83</f>
        <v>44213.389504000006</v>
      </c>
      <c r="H83" s="249">
        <f>I83+J83+K83</f>
        <v>154376.35999999999</v>
      </c>
      <c r="I83" s="250">
        <v>102444.15</v>
      </c>
      <c r="J83" s="250">
        <v>7718.82</v>
      </c>
      <c r="K83" s="251">
        <v>44213.39</v>
      </c>
      <c r="L83" s="252" t="s">
        <v>622</v>
      </c>
      <c r="M83" s="716"/>
    </row>
    <row r="84" spans="1:13" s="292" customFormat="1" ht="27" customHeight="1" x14ac:dyDescent="0.25">
      <c r="A84" s="286">
        <v>21</v>
      </c>
      <c r="B84" s="247" t="s">
        <v>147</v>
      </c>
      <c r="C84" s="290">
        <f>SUM(C85:C86)</f>
        <v>4094091.0599999996</v>
      </c>
      <c r="D84" s="288">
        <f t="shared" si="7"/>
        <v>4094091.0599999996</v>
      </c>
      <c r="E84" s="289">
        <f>SUM(E85:E86)</f>
        <v>3006030.2646960001</v>
      </c>
      <c r="F84" s="289">
        <f>SUM(F85:F86)</f>
        <v>204704.55299999999</v>
      </c>
      <c r="G84" s="247">
        <f>SUM(G85:G86)</f>
        <v>883356.24230399984</v>
      </c>
      <c r="H84" s="288">
        <f>I84+J84+K84</f>
        <v>4094091.0599999996</v>
      </c>
      <c r="I84" s="289">
        <f>SUM(I85:I86)</f>
        <v>3011613.38</v>
      </c>
      <c r="J84" s="289">
        <f>SUM(J85:J86)</f>
        <v>204704.55000000002</v>
      </c>
      <c r="K84" s="291">
        <f>SUM(K85:K86)</f>
        <v>877773.13</v>
      </c>
      <c r="L84" s="290"/>
      <c r="M84" s="675"/>
    </row>
    <row r="85" spans="1:13" s="254" customFormat="1" ht="15" customHeight="1" outlineLevel="1" x14ac:dyDescent="0.25">
      <c r="A85" s="246"/>
      <c r="B85" s="248" t="s">
        <v>555</v>
      </c>
      <c r="C85" s="252">
        <f>3671660.88+344886.86</f>
        <v>4016547.7399999998</v>
      </c>
      <c r="D85" s="249">
        <f t="shared" si="7"/>
        <v>4016547.7399999998</v>
      </c>
      <c r="E85" s="250">
        <f>C85*0.7356</f>
        <v>2954572.5175439999</v>
      </c>
      <c r="F85" s="250">
        <f>C85*5%</f>
        <v>200827.38699999999</v>
      </c>
      <c r="G85" s="251">
        <f>C85-E85-F85</f>
        <v>861147.83545599983</v>
      </c>
      <c r="H85" s="249">
        <f>I85+J85+K85</f>
        <v>4016547.7399999998</v>
      </c>
      <c r="I85" s="250">
        <v>2960155.63</v>
      </c>
      <c r="J85" s="250">
        <v>200827.38</v>
      </c>
      <c r="K85" s="253">
        <v>855564.73</v>
      </c>
      <c r="L85" s="252" t="s">
        <v>634</v>
      </c>
      <c r="M85" s="620"/>
    </row>
    <row r="86" spans="1:13" s="166" customFormat="1" ht="15" customHeight="1" outlineLevel="1" x14ac:dyDescent="0.25">
      <c r="A86" s="246"/>
      <c r="B86" s="248" t="s">
        <v>67</v>
      </c>
      <c r="C86" s="252">
        <v>77543.320000000007</v>
      </c>
      <c r="D86" s="249">
        <f t="shared" si="7"/>
        <v>77543.320000000007</v>
      </c>
      <c r="E86" s="250">
        <f>C86*0.6636</f>
        <v>51457.747152000004</v>
      </c>
      <c r="F86" s="250">
        <f>C86*5%</f>
        <v>3877.1660000000006</v>
      </c>
      <c r="G86" s="251">
        <f>C86-E86-F86</f>
        <v>22208.406848000002</v>
      </c>
      <c r="H86" s="249">
        <f>I86+J86+K86</f>
        <v>77543.320000000007</v>
      </c>
      <c r="I86" s="250">
        <v>51457.75</v>
      </c>
      <c r="J86" s="250">
        <v>3877.17</v>
      </c>
      <c r="K86" s="251">
        <v>22208.400000000001</v>
      </c>
      <c r="L86" s="252" t="s">
        <v>622</v>
      </c>
      <c r="M86" s="716"/>
    </row>
    <row r="87" spans="1:13" s="108" customFormat="1" ht="34.5" customHeight="1" x14ac:dyDescent="0.25">
      <c r="A87" s="88">
        <v>22</v>
      </c>
      <c r="B87" s="229" t="s">
        <v>148</v>
      </c>
      <c r="C87" s="84">
        <f>SUM(C88:C90)</f>
        <v>120383.63</v>
      </c>
      <c r="D87" s="228">
        <f t="shared" si="7"/>
        <v>120383.63</v>
      </c>
      <c r="E87" s="201">
        <f>SUM(E88:E90)</f>
        <v>79886.576868000004</v>
      </c>
      <c r="F87" s="201">
        <f>SUM(F88:F90)</f>
        <v>6019.1815000000006</v>
      </c>
      <c r="G87" s="229">
        <f>SUM(G88:G90)</f>
        <v>34477.871632000002</v>
      </c>
      <c r="H87" s="228">
        <f t="shared" ref="H87:H98" si="9">I87+J87+K87</f>
        <v>120383.63</v>
      </c>
      <c r="I87" s="201">
        <f>SUM(I88:I90)</f>
        <v>79886.58</v>
      </c>
      <c r="J87" s="201">
        <f>SUM(J88:J90)</f>
        <v>6019.18</v>
      </c>
      <c r="K87" s="223">
        <f>SUM(K88:K90)</f>
        <v>34477.870000000003</v>
      </c>
      <c r="L87" s="84"/>
      <c r="M87" s="656"/>
    </row>
    <row r="88" spans="1:13" s="166" customFormat="1" ht="15" customHeight="1" outlineLevel="1" x14ac:dyDescent="0.25">
      <c r="A88" s="89"/>
      <c r="B88" s="283" t="s">
        <v>557</v>
      </c>
      <c r="C88" s="87"/>
      <c r="D88" s="264">
        <f t="shared" si="7"/>
        <v>0</v>
      </c>
      <c r="E88" s="202"/>
      <c r="F88" s="202"/>
      <c r="G88" s="265"/>
      <c r="H88" s="264">
        <f t="shared" si="9"/>
        <v>0</v>
      </c>
      <c r="I88" s="202"/>
      <c r="J88" s="202"/>
      <c r="K88" s="224"/>
      <c r="L88" s="87"/>
      <c r="M88" s="716"/>
    </row>
    <row r="89" spans="1:13" s="166" customFormat="1" ht="15" customHeight="1" outlineLevel="1" x14ac:dyDescent="0.25">
      <c r="A89" s="89"/>
      <c r="B89" s="283" t="s">
        <v>554</v>
      </c>
      <c r="C89" s="87"/>
      <c r="D89" s="264">
        <f t="shared" si="7"/>
        <v>0</v>
      </c>
      <c r="E89" s="202"/>
      <c r="F89" s="202"/>
      <c r="G89" s="265"/>
      <c r="H89" s="264">
        <f t="shared" si="9"/>
        <v>0</v>
      </c>
      <c r="I89" s="202"/>
      <c r="J89" s="202"/>
      <c r="K89" s="224"/>
      <c r="L89" s="87"/>
      <c r="M89" s="716"/>
    </row>
    <row r="90" spans="1:13" s="166" customFormat="1" ht="15" customHeight="1" outlineLevel="1" x14ac:dyDescent="0.25">
      <c r="A90" s="246"/>
      <c r="B90" s="248" t="s">
        <v>67</v>
      </c>
      <c r="C90" s="252">
        <v>120383.63</v>
      </c>
      <c r="D90" s="249">
        <f t="shared" si="7"/>
        <v>120383.63</v>
      </c>
      <c r="E90" s="250">
        <f>C90*0.6636</f>
        <v>79886.576868000004</v>
      </c>
      <c r="F90" s="250">
        <f>C90*5%</f>
        <v>6019.1815000000006</v>
      </c>
      <c r="G90" s="251">
        <f>C90-E90-F90</f>
        <v>34477.871632000002</v>
      </c>
      <c r="H90" s="249">
        <f t="shared" si="9"/>
        <v>120383.63</v>
      </c>
      <c r="I90" s="250">
        <v>79886.58</v>
      </c>
      <c r="J90" s="250">
        <v>6019.18</v>
      </c>
      <c r="K90" s="253">
        <v>34477.870000000003</v>
      </c>
      <c r="L90" s="252" t="s">
        <v>622</v>
      </c>
      <c r="M90" s="716"/>
    </row>
    <row r="91" spans="1:13" s="108" customFormat="1" ht="27" customHeight="1" x14ac:dyDescent="0.25">
      <c r="A91" s="88">
        <v>23</v>
      </c>
      <c r="B91" s="229" t="s">
        <v>149</v>
      </c>
      <c r="C91" s="84">
        <f>SUM(C92:C97)</f>
        <v>10605464.25</v>
      </c>
      <c r="D91" s="562">
        <f t="shared" si="7"/>
        <v>10605464.25</v>
      </c>
      <c r="E91" s="201">
        <f t="shared" ref="E91:G91" si="10">SUM(E92:E97)</f>
        <v>8440570.8305240013</v>
      </c>
      <c r="F91" s="201">
        <f t="shared" si="10"/>
        <v>530273.20650000009</v>
      </c>
      <c r="G91" s="622">
        <f t="shared" si="10"/>
        <v>1634620.2129759998</v>
      </c>
      <c r="H91" s="562">
        <f t="shared" si="9"/>
        <v>6019137.0099999998</v>
      </c>
      <c r="I91" s="201">
        <f t="shared" ref="I91:K91" si="11">SUM(I92:I97)</f>
        <v>4428169.13</v>
      </c>
      <c r="J91" s="201">
        <f t="shared" si="11"/>
        <v>297716.8</v>
      </c>
      <c r="K91" s="622">
        <f t="shared" si="11"/>
        <v>1293251.08</v>
      </c>
      <c r="L91" s="84"/>
      <c r="M91" s="656"/>
    </row>
    <row r="92" spans="1:13" s="254" customFormat="1" ht="16.5" customHeight="1" x14ac:dyDescent="0.25">
      <c r="A92" s="246"/>
      <c r="B92" s="248" t="s">
        <v>64</v>
      </c>
      <c r="C92" s="252">
        <v>4586327.24</v>
      </c>
      <c r="D92" s="249">
        <f t="shared" ref="D92:D123" si="12">E92+F92+G92</f>
        <v>4586327.24</v>
      </c>
      <c r="E92" s="250">
        <v>4012401.7</v>
      </c>
      <c r="F92" s="250">
        <v>232556.41</v>
      </c>
      <c r="G92" s="251">
        <v>341369.13</v>
      </c>
      <c r="H92" s="249"/>
      <c r="I92" s="250"/>
      <c r="J92" s="250"/>
      <c r="K92" s="253"/>
      <c r="L92" s="252" t="s">
        <v>856</v>
      </c>
      <c r="M92" s="620">
        <v>42658</v>
      </c>
    </row>
    <row r="93" spans="1:13" s="166" customFormat="1" ht="15" customHeight="1" outlineLevel="1" x14ac:dyDescent="0.25">
      <c r="A93" s="246"/>
      <c r="B93" s="248" t="s">
        <v>555</v>
      </c>
      <c r="C93" s="252">
        <v>5758648.9800000004</v>
      </c>
      <c r="D93" s="249">
        <f t="shared" si="12"/>
        <v>5758648.9800000004</v>
      </c>
      <c r="E93" s="250">
        <f>C93*73.48%</f>
        <v>4231455.2705040006</v>
      </c>
      <c r="F93" s="250">
        <f>C93*5%</f>
        <v>287932.44900000002</v>
      </c>
      <c r="G93" s="251">
        <f>C93-E93-F93</f>
        <v>1239261.2604959998</v>
      </c>
      <c r="H93" s="249">
        <f t="shared" si="9"/>
        <v>5758648.9799999995</v>
      </c>
      <c r="I93" s="250">
        <f>3015031.36+1216423.91</f>
        <v>4231455.2699999996</v>
      </c>
      <c r="J93" s="250">
        <f>205160+82772.45</f>
        <v>287932.45</v>
      </c>
      <c r="K93" s="253">
        <f>883008.64+356252.62</f>
        <v>1239261.26</v>
      </c>
      <c r="L93" s="252" t="s">
        <v>617</v>
      </c>
      <c r="M93" s="716"/>
    </row>
    <row r="94" spans="1:13" s="166" customFormat="1" ht="15" customHeight="1" outlineLevel="1" x14ac:dyDescent="0.25">
      <c r="A94" s="89"/>
      <c r="B94" s="283" t="s">
        <v>557</v>
      </c>
      <c r="C94" s="87"/>
      <c r="D94" s="264">
        <f t="shared" si="12"/>
        <v>0</v>
      </c>
      <c r="E94" s="202"/>
      <c r="F94" s="202"/>
      <c r="G94" s="265"/>
      <c r="H94" s="264">
        <f t="shared" si="9"/>
        <v>0</v>
      </c>
      <c r="I94" s="202"/>
      <c r="J94" s="202"/>
      <c r="K94" s="224"/>
      <c r="L94" s="87"/>
      <c r="M94" s="716"/>
    </row>
    <row r="95" spans="1:13" s="166" customFormat="1" ht="15" customHeight="1" outlineLevel="1" x14ac:dyDescent="0.25">
      <c r="A95" s="89"/>
      <c r="B95" s="283" t="s">
        <v>554</v>
      </c>
      <c r="C95" s="87"/>
      <c r="D95" s="264">
        <f t="shared" si="12"/>
        <v>0</v>
      </c>
      <c r="E95" s="202"/>
      <c r="F95" s="202"/>
      <c r="G95" s="265"/>
      <c r="H95" s="264">
        <f t="shared" si="9"/>
        <v>0</v>
      </c>
      <c r="I95" s="202"/>
      <c r="J95" s="202"/>
      <c r="K95" s="224"/>
      <c r="L95" s="87"/>
      <c r="M95" s="716"/>
    </row>
    <row r="96" spans="1:13" s="166" customFormat="1" ht="15" customHeight="1" outlineLevel="1" x14ac:dyDescent="0.25">
      <c r="A96" s="246"/>
      <c r="B96" s="248" t="s">
        <v>67</v>
      </c>
      <c r="C96" s="252">
        <v>188511.95</v>
      </c>
      <c r="D96" s="249">
        <f t="shared" si="12"/>
        <v>188511.95</v>
      </c>
      <c r="E96" s="250">
        <f>C96*0.6636</f>
        <v>125096.53002000001</v>
      </c>
      <c r="F96" s="250">
        <f>C96*5%</f>
        <v>9425.5975000000017</v>
      </c>
      <c r="G96" s="251">
        <f>C96-E96-F96</f>
        <v>53989.822480000003</v>
      </c>
      <c r="H96" s="249">
        <f>I96+J96+K96</f>
        <v>188511.95</v>
      </c>
      <c r="I96" s="250">
        <v>125096.53</v>
      </c>
      <c r="J96" s="250">
        <v>9425.6</v>
      </c>
      <c r="K96" s="253">
        <v>53989.82</v>
      </c>
      <c r="L96" s="252" t="s">
        <v>622</v>
      </c>
      <c r="M96" s="716"/>
    </row>
    <row r="97" spans="1:13" s="166" customFormat="1" ht="15" customHeight="1" outlineLevel="1" x14ac:dyDescent="0.25">
      <c r="A97" s="246"/>
      <c r="B97" s="248" t="s">
        <v>67</v>
      </c>
      <c r="C97" s="252">
        <v>71976.08</v>
      </c>
      <c r="D97" s="249">
        <f t="shared" si="12"/>
        <v>71976.08</v>
      </c>
      <c r="E97" s="250">
        <v>71617.33</v>
      </c>
      <c r="F97" s="250">
        <v>358.75</v>
      </c>
      <c r="G97" s="251">
        <f>C97-E97-F97</f>
        <v>0</v>
      </c>
      <c r="H97" s="249">
        <f>I97+J97+K97</f>
        <v>71976.08</v>
      </c>
      <c r="I97" s="250">
        <v>71617.33</v>
      </c>
      <c r="J97" s="250">
        <v>358.75</v>
      </c>
      <c r="K97" s="253">
        <v>0</v>
      </c>
      <c r="L97" s="252" t="s">
        <v>802</v>
      </c>
      <c r="M97" s="716"/>
    </row>
    <row r="98" spans="1:13" s="292" customFormat="1" ht="33" customHeight="1" x14ac:dyDescent="0.25">
      <c r="A98" s="286">
        <v>24</v>
      </c>
      <c r="B98" s="247" t="s">
        <v>180</v>
      </c>
      <c r="C98" s="290">
        <f>SUM(C99:C99)</f>
        <v>4501543.83</v>
      </c>
      <c r="D98" s="288">
        <f t="shared" si="12"/>
        <v>4501543.83</v>
      </c>
      <c r="E98" s="289">
        <f>SUM(E99:E99)</f>
        <v>3311335.6413480002</v>
      </c>
      <c r="F98" s="289">
        <f>SUM(F99:F99)</f>
        <v>225077.19150000002</v>
      </c>
      <c r="G98" s="247">
        <f>SUM(G99:G99)</f>
        <v>965130.99715199997</v>
      </c>
      <c r="H98" s="288">
        <f t="shared" si="9"/>
        <v>4501543.83</v>
      </c>
      <c r="I98" s="289">
        <f>SUM(I99:I99)</f>
        <v>3311335.64</v>
      </c>
      <c r="J98" s="289">
        <f>SUM(J99:J99)</f>
        <v>225077.19</v>
      </c>
      <c r="K98" s="291">
        <f>SUM(K99:K99)</f>
        <v>965131</v>
      </c>
      <c r="L98" s="290"/>
      <c r="M98" s="675"/>
    </row>
    <row r="99" spans="1:13" s="254" customFormat="1" ht="15" customHeight="1" outlineLevel="1" x14ac:dyDescent="0.25">
      <c r="A99" s="246"/>
      <c r="B99" s="248" t="s">
        <v>555</v>
      </c>
      <c r="C99" s="252">
        <f>3987364.83+50959+463220</f>
        <v>4501543.83</v>
      </c>
      <c r="D99" s="249">
        <f t="shared" si="12"/>
        <v>4501543.83</v>
      </c>
      <c r="E99" s="250">
        <f>C99*0.7356</f>
        <v>3311335.6413480002</v>
      </c>
      <c r="F99" s="250">
        <f>C99*5%</f>
        <v>225077.19150000002</v>
      </c>
      <c r="G99" s="251">
        <f>C99-E99-F99</f>
        <v>965130.99715199997</v>
      </c>
      <c r="H99" s="249">
        <f>I99+J99+K99</f>
        <v>4501543.83</v>
      </c>
      <c r="I99" s="250">
        <v>3311335.64</v>
      </c>
      <c r="J99" s="250">
        <v>225077.19</v>
      </c>
      <c r="K99" s="253">
        <v>965131</v>
      </c>
      <c r="L99" s="252" t="s">
        <v>638</v>
      </c>
      <c r="M99" s="620"/>
    </row>
    <row r="100" spans="1:13" s="108" customFormat="1" ht="33" customHeight="1" x14ac:dyDescent="0.25">
      <c r="A100" s="88">
        <v>25</v>
      </c>
      <c r="B100" s="229" t="s">
        <v>150</v>
      </c>
      <c r="C100" s="84">
        <f>SUM(C101:C103)</f>
        <v>124740.55</v>
      </c>
      <c r="D100" s="228">
        <f t="shared" si="12"/>
        <v>124740.55</v>
      </c>
      <c r="E100" s="201">
        <f>SUM(E101:E103)</f>
        <v>82777.828979999991</v>
      </c>
      <c r="F100" s="201">
        <f>SUM(F101:F103)</f>
        <v>6237.0275000000001</v>
      </c>
      <c r="G100" s="229">
        <f>SUM(G101:G103)</f>
        <v>35725.693520000015</v>
      </c>
      <c r="H100" s="228">
        <f t="shared" ref="H100:H118" si="13">I100+J100+K100</f>
        <v>124740.55</v>
      </c>
      <c r="I100" s="201">
        <f>SUM(I101:I103)</f>
        <v>82777.83</v>
      </c>
      <c r="J100" s="201">
        <f>SUM(J101:J103)</f>
        <v>6237.03</v>
      </c>
      <c r="K100" s="223">
        <f>SUM(K101:K103)</f>
        <v>35725.69</v>
      </c>
      <c r="L100" s="84"/>
      <c r="M100" s="656"/>
    </row>
    <row r="101" spans="1:13" s="166" customFormat="1" ht="15" customHeight="1" outlineLevel="1" x14ac:dyDescent="0.25">
      <c r="A101" s="89"/>
      <c r="B101" s="283" t="s">
        <v>557</v>
      </c>
      <c r="C101" s="87"/>
      <c r="D101" s="264">
        <f t="shared" si="12"/>
        <v>0</v>
      </c>
      <c r="E101" s="202"/>
      <c r="F101" s="202"/>
      <c r="G101" s="265"/>
      <c r="H101" s="264">
        <f t="shared" si="13"/>
        <v>0</v>
      </c>
      <c r="I101" s="202"/>
      <c r="J101" s="202"/>
      <c r="K101" s="224"/>
      <c r="L101" s="87"/>
      <c r="M101" s="716"/>
    </row>
    <row r="102" spans="1:13" s="166" customFormat="1" ht="15" customHeight="1" outlineLevel="1" x14ac:dyDescent="0.25">
      <c r="A102" s="89"/>
      <c r="B102" s="283" t="s">
        <v>554</v>
      </c>
      <c r="C102" s="87"/>
      <c r="D102" s="264">
        <f t="shared" si="12"/>
        <v>0</v>
      </c>
      <c r="E102" s="202"/>
      <c r="F102" s="202"/>
      <c r="G102" s="265"/>
      <c r="H102" s="264">
        <f t="shared" si="13"/>
        <v>0</v>
      </c>
      <c r="I102" s="202"/>
      <c r="J102" s="202"/>
      <c r="K102" s="224"/>
      <c r="L102" s="87"/>
      <c r="M102" s="716"/>
    </row>
    <row r="103" spans="1:13" s="166" customFormat="1" ht="15" customHeight="1" outlineLevel="1" x14ac:dyDescent="0.25">
      <c r="A103" s="246"/>
      <c r="B103" s="248" t="s">
        <v>67</v>
      </c>
      <c r="C103" s="252">
        <v>124740.55</v>
      </c>
      <c r="D103" s="249">
        <f t="shared" si="12"/>
        <v>124740.55</v>
      </c>
      <c r="E103" s="250">
        <f>C103*0.6636</f>
        <v>82777.828979999991</v>
      </c>
      <c r="F103" s="250">
        <f>C103*5%</f>
        <v>6237.0275000000001</v>
      </c>
      <c r="G103" s="251">
        <f>C103-E103-F103</f>
        <v>35725.693520000015</v>
      </c>
      <c r="H103" s="249">
        <f t="shared" si="13"/>
        <v>124740.55</v>
      </c>
      <c r="I103" s="250">
        <v>82777.83</v>
      </c>
      <c r="J103" s="250">
        <v>6237.03</v>
      </c>
      <c r="K103" s="253">
        <v>35725.69</v>
      </c>
      <c r="L103" s="252" t="s">
        <v>622</v>
      </c>
      <c r="M103" s="716"/>
    </row>
    <row r="104" spans="1:13" s="108" customFormat="1" ht="29.25" customHeight="1" x14ac:dyDescent="0.25">
      <c r="A104" s="88">
        <v>26</v>
      </c>
      <c r="B104" s="229" t="s">
        <v>152</v>
      </c>
      <c r="C104" s="84">
        <f>SUM(C105:C107)</f>
        <v>110330.73</v>
      </c>
      <c r="D104" s="228">
        <f t="shared" si="12"/>
        <v>110330.73</v>
      </c>
      <c r="E104" s="201">
        <f>SUM(E105:E107)</f>
        <v>73215.472427999994</v>
      </c>
      <c r="F104" s="201">
        <f>SUM(F105:F107)</f>
        <v>5516.5365000000002</v>
      </c>
      <c r="G104" s="229">
        <f>SUM(G105:G107)</f>
        <v>31598.721072</v>
      </c>
      <c r="H104" s="228">
        <f t="shared" si="13"/>
        <v>110330.73</v>
      </c>
      <c r="I104" s="201">
        <f>SUM(I105:I107)</f>
        <v>73215.47</v>
      </c>
      <c r="J104" s="201">
        <f>SUM(J105:J107)</f>
        <v>5516.54</v>
      </c>
      <c r="K104" s="223">
        <f>SUM(K105:K107)</f>
        <v>31598.720000000001</v>
      </c>
      <c r="L104" s="84"/>
      <c r="M104" s="656"/>
    </row>
    <row r="105" spans="1:13" s="166" customFormat="1" ht="15" customHeight="1" outlineLevel="1" x14ac:dyDescent="0.25">
      <c r="A105" s="89"/>
      <c r="B105" s="283" t="s">
        <v>557</v>
      </c>
      <c r="C105" s="87"/>
      <c r="D105" s="264">
        <f t="shared" si="12"/>
        <v>0</v>
      </c>
      <c r="E105" s="202"/>
      <c r="F105" s="202"/>
      <c r="G105" s="265"/>
      <c r="H105" s="264">
        <f t="shared" si="13"/>
        <v>0</v>
      </c>
      <c r="I105" s="202"/>
      <c r="J105" s="202"/>
      <c r="K105" s="224"/>
      <c r="L105" s="87"/>
      <c r="M105" s="716"/>
    </row>
    <row r="106" spans="1:13" s="166" customFormat="1" ht="15" customHeight="1" outlineLevel="1" x14ac:dyDescent="0.25">
      <c r="A106" s="89"/>
      <c r="B106" s="283" t="s">
        <v>554</v>
      </c>
      <c r="C106" s="87"/>
      <c r="D106" s="264">
        <f t="shared" si="12"/>
        <v>0</v>
      </c>
      <c r="E106" s="202"/>
      <c r="F106" s="202"/>
      <c r="G106" s="265"/>
      <c r="H106" s="264">
        <f t="shared" si="13"/>
        <v>0</v>
      </c>
      <c r="I106" s="202"/>
      <c r="J106" s="202"/>
      <c r="K106" s="224"/>
      <c r="L106" s="87"/>
      <c r="M106" s="716"/>
    </row>
    <row r="107" spans="1:13" s="166" customFormat="1" ht="15" customHeight="1" outlineLevel="1" x14ac:dyDescent="0.25">
      <c r="A107" s="246"/>
      <c r="B107" s="248" t="s">
        <v>67</v>
      </c>
      <c r="C107" s="252">
        <v>110330.73</v>
      </c>
      <c r="D107" s="249">
        <f t="shared" si="12"/>
        <v>110330.73</v>
      </c>
      <c r="E107" s="250">
        <f>C107*0.6636</f>
        <v>73215.472427999994</v>
      </c>
      <c r="F107" s="250">
        <f>C107*5%</f>
        <v>5516.5365000000002</v>
      </c>
      <c r="G107" s="251">
        <f>C107-E107-F107</f>
        <v>31598.721072</v>
      </c>
      <c r="H107" s="249">
        <f t="shared" si="13"/>
        <v>110330.73</v>
      </c>
      <c r="I107" s="250">
        <v>73215.47</v>
      </c>
      <c r="J107" s="250">
        <v>5516.54</v>
      </c>
      <c r="K107" s="253">
        <v>31598.720000000001</v>
      </c>
      <c r="L107" s="252" t="s">
        <v>622</v>
      </c>
      <c r="M107" s="716"/>
    </row>
    <row r="108" spans="1:13" s="292" customFormat="1" ht="33" customHeight="1" x14ac:dyDescent="0.25">
      <c r="A108" s="286">
        <v>27</v>
      </c>
      <c r="B108" s="247" t="s">
        <v>164</v>
      </c>
      <c r="C108" s="290">
        <f>SUM(C109:C110)</f>
        <v>2803215.65</v>
      </c>
      <c r="D108" s="288">
        <f t="shared" si="12"/>
        <v>2803215.6500000004</v>
      </c>
      <c r="E108" s="289">
        <f>SUM(E109:E110)</f>
        <v>2230995.2361400002</v>
      </c>
      <c r="F108" s="289">
        <f>SUM(F109:F110)</f>
        <v>140160.7825</v>
      </c>
      <c r="G108" s="247">
        <f>SUM(G109:G110)</f>
        <v>432059.63135999994</v>
      </c>
      <c r="H108" s="288">
        <f t="shared" si="13"/>
        <v>99455.65</v>
      </c>
      <c r="I108" s="289">
        <f>SUM(I109:I110)</f>
        <v>73159.58</v>
      </c>
      <c r="J108" s="289">
        <f>SUM(J109:J110)</f>
        <v>4972.78</v>
      </c>
      <c r="K108" s="291">
        <f>SUM(K109:K110)</f>
        <v>21323.29</v>
      </c>
      <c r="L108" s="290"/>
      <c r="M108" s="675"/>
    </row>
    <row r="109" spans="1:13" s="254" customFormat="1" ht="15" customHeight="1" outlineLevel="1" x14ac:dyDescent="0.25">
      <c r="A109" s="246"/>
      <c r="B109" s="248" t="s">
        <v>555</v>
      </c>
      <c r="C109" s="252">
        <v>2703760</v>
      </c>
      <c r="D109" s="249">
        <f t="shared" si="12"/>
        <v>2703760</v>
      </c>
      <c r="E109" s="250">
        <v>2157835.66</v>
      </c>
      <c r="F109" s="250">
        <v>135188</v>
      </c>
      <c r="G109" s="251">
        <v>410736.33999999997</v>
      </c>
      <c r="H109" s="249">
        <f t="shared" si="13"/>
        <v>0</v>
      </c>
      <c r="I109" s="250"/>
      <c r="J109" s="250"/>
      <c r="K109" s="253"/>
      <c r="L109" s="252" t="s">
        <v>817</v>
      </c>
      <c r="M109" s="620">
        <v>42648</v>
      </c>
    </row>
    <row r="110" spans="1:13" s="254" customFormat="1" ht="15" customHeight="1" outlineLevel="1" x14ac:dyDescent="0.25">
      <c r="A110" s="246"/>
      <c r="B110" s="248" t="s">
        <v>67</v>
      </c>
      <c r="C110" s="252">
        <v>99455.65</v>
      </c>
      <c r="D110" s="249">
        <f t="shared" si="12"/>
        <v>99455.65</v>
      </c>
      <c r="E110" s="250">
        <f>C110*0.7356</f>
        <v>73159.576140000005</v>
      </c>
      <c r="F110" s="250">
        <f>C110*5%</f>
        <v>4972.7825000000003</v>
      </c>
      <c r="G110" s="251">
        <f>C110-E110-F110</f>
        <v>21323.291359999988</v>
      </c>
      <c r="H110" s="249">
        <f t="shared" si="13"/>
        <v>99455.65</v>
      </c>
      <c r="I110" s="250">
        <v>73159.58</v>
      </c>
      <c r="J110" s="250">
        <v>4972.78</v>
      </c>
      <c r="K110" s="253">
        <v>21323.29</v>
      </c>
      <c r="L110" s="252" t="s">
        <v>659</v>
      </c>
      <c r="M110" s="620"/>
    </row>
    <row r="111" spans="1:13" s="108" customFormat="1" ht="27.75" customHeight="1" x14ac:dyDescent="0.25">
      <c r="A111" s="88">
        <v>28</v>
      </c>
      <c r="B111" s="229" t="s">
        <v>165</v>
      </c>
      <c r="C111" s="84">
        <f>SUM(C112:C114)</f>
        <v>107949.39</v>
      </c>
      <c r="D111" s="228">
        <f t="shared" si="12"/>
        <v>107949.39000000001</v>
      </c>
      <c r="E111" s="201">
        <f>SUM(E112:E114)</f>
        <v>79407.571284000005</v>
      </c>
      <c r="F111" s="201">
        <f>SUM(F112:F114)</f>
        <v>5397.4695000000002</v>
      </c>
      <c r="G111" s="229">
        <f>SUM(G112:G114)</f>
        <v>23144.349215999995</v>
      </c>
      <c r="H111" s="228">
        <f t="shared" si="13"/>
        <v>107949.39000000001</v>
      </c>
      <c r="I111" s="201">
        <f>SUM(I112:I114)</f>
        <v>79407.570000000007</v>
      </c>
      <c r="J111" s="201">
        <f>SUM(J112:J114)</f>
        <v>5397.47</v>
      </c>
      <c r="K111" s="223">
        <f>SUM(K112:K114)</f>
        <v>23144.35</v>
      </c>
      <c r="L111" s="84"/>
      <c r="M111" s="656"/>
    </row>
    <row r="112" spans="1:13" s="166" customFormat="1" ht="15" customHeight="1" outlineLevel="1" x14ac:dyDescent="0.25">
      <c r="A112" s="89"/>
      <c r="B112" s="283" t="s">
        <v>555</v>
      </c>
      <c r="C112" s="87"/>
      <c r="D112" s="264">
        <f t="shared" si="12"/>
        <v>0</v>
      </c>
      <c r="E112" s="202"/>
      <c r="F112" s="202"/>
      <c r="G112" s="265"/>
      <c r="H112" s="264">
        <f t="shared" si="13"/>
        <v>0</v>
      </c>
      <c r="I112" s="202"/>
      <c r="J112" s="202"/>
      <c r="K112" s="224"/>
      <c r="L112" s="87"/>
      <c r="M112" s="716"/>
    </row>
    <row r="113" spans="1:13" s="166" customFormat="1" ht="15" customHeight="1" outlineLevel="1" x14ac:dyDescent="0.25">
      <c r="A113" s="89"/>
      <c r="B113" s="283" t="s">
        <v>554</v>
      </c>
      <c r="C113" s="87"/>
      <c r="D113" s="264">
        <f t="shared" si="12"/>
        <v>0</v>
      </c>
      <c r="E113" s="202"/>
      <c r="F113" s="202"/>
      <c r="G113" s="265"/>
      <c r="H113" s="264">
        <f t="shared" si="13"/>
        <v>0</v>
      </c>
      <c r="I113" s="202"/>
      <c r="J113" s="202"/>
      <c r="K113" s="224"/>
      <c r="L113" s="87"/>
      <c r="M113" s="716"/>
    </row>
    <row r="114" spans="1:13" s="254" customFormat="1" ht="15" customHeight="1" outlineLevel="1" x14ac:dyDescent="0.25">
      <c r="A114" s="246"/>
      <c r="B114" s="248" t="s">
        <v>67</v>
      </c>
      <c r="C114" s="252">
        <v>107949.39</v>
      </c>
      <c r="D114" s="249">
        <f t="shared" si="12"/>
        <v>107949.39000000001</v>
      </c>
      <c r="E114" s="250">
        <f>C114*0.7356</f>
        <v>79407.571284000005</v>
      </c>
      <c r="F114" s="250">
        <f>C114*5%</f>
        <v>5397.4695000000002</v>
      </c>
      <c r="G114" s="251">
        <f>C114-E114-F114</f>
        <v>23144.349215999995</v>
      </c>
      <c r="H114" s="249">
        <f t="shared" si="13"/>
        <v>107949.39000000001</v>
      </c>
      <c r="I114" s="250">
        <v>79407.570000000007</v>
      </c>
      <c r="J114" s="250">
        <v>5397.47</v>
      </c>
      <c r="K114" s="253">
        <v>23144.35</v>
      </c>
      <c r="L114" s="252" t="s">
        <v>659</v>
      </c>
      <c r="M114" s="620"/>
    </row>
    <row r="115" spans="1:13" s="292" customFormat="1" ht="27" customHeight="1" x14ac:dyDescent="0.25">
      <c r="A115" s="286">
        <v>29</v>
      </c>
      <c r="B115" s="247" t="s">
        <v>166</v>
      </c>
      <c r="C115" s="290">
        <f>SUM(C116:C117)</f>
        <v>6190682.7699999996</v>
      </c>
      <c r="D115" s="288">
        <f t="shared" si="12"/>
        <v>6190682.7700000005</v>
      </c>
      <c r="E115" s="289">
        <f>SUM(E116:E117)</f>
        <v>5222583.7957394011</v>
      </c>
      <c r="F115" s="289">
        <f>SUM(F116:F117)</f>
        <v>309534.13450000004</v>
      </c>
      <c r="G115" s="247">
        <f>SUM(G116:G117)</f>
        <v>658564.83976059943</v>
      </c>
      <c r="H115" s="288">
        <f t="shared" si="13"/>
        <v>6190682.7699999996</v>
      </c>
      <c r="I115" s="289">
        <f>SUM(I116:I117)</f>
        <v>5222583.8</v>
      </c>
      <c r="J115" s="289">
        <f>SUM(J116:J117)</f>
        <v>309534.14</v>
      </c>
      <c r="K115" s="291">
        <f>SUM(K116:K117)</f>
        <v>658564.83000000007</v>
      </c>
      <c r="L115" s="290"/>
      <c r="M115" s="675"/>
    </row>
    <row r="116" spans="1:13" s="254" customFormat="1" ht="15" customHeight="1" outlineLevel="1" x14ac:dyDescent="0.25">
      <c r="A116" s="246"/>
      <c r="B116" s="248" t="s">
        <v>555</v>
      </c>
      <c r="C116" s="252">
        <v>6083149.25</v>
      </c>
      <c r="D116" s="249">
        <f t="shared" si="12"/>
        <v>6083149.25</v>
      </c>
      <c r="E116" s="250">
        <v>5143482.138427401</v>
      </c>
      <c r="F116" s="250">
        <v>304157.45850000007</v>
      </c>
      <c r="G116" s="251">
        <v>635509.65307259944</v>
      </c>
      <c r="H116" s="249">
        <f t="shared" si="13"/>
        <v>6083149.25</v>
      </c>
      <c r="I116" s="250">
        <v>5143482.1399999997</v>
      </c>
      <c r="J116" s="250">
        <v>304157.46000000002</v>
      </c>
      <c r="K116" s="253">
        <v>635509.65</v>
      </c>
      <c r="L116" s="252" t="s">
        <v>816</v>
      </c>
      <c r="M116" s="620">
        <v>42615</v>
      </c>
    </row>
    <row r="117" spans="1:13" s="254" customFormat="1" ht="15" customHeight="1" outlineLevel="1" x14ac:dyDescent="0.25">
      <c r="A117" s="246"/>
      <c r="B117" s="248" t="s">
        <v>67</v>
      </c>
      <c r="C117" s="252">
        <v>107533.52</v>
      </c>
      <c r="D117" s="249">
        <f t="shared" si="12"/>
        <v>107533.52000000002</v>
      </c>
      <c r="E117" s="250">
        <f>C117*0.7356</f>
        <v>79101.65731200001</v>
      </c>
      <c r="F117" s="250">
        <f>C117*5%</f>
        <v>5376.6760000000004</v>
      </c>
      <c r="G117" s="251">
        <f>C117-E117-F117</f>
        <v>23055.186687999994</v>
      </c>
      <c r="H117" s="249">
        <f t="shared" si="13"/>
        <v>107533.51999999999</v>
      </c>
      <c r="I117" s="250">
        <v>79101.66</v>
      </c>
      <c r="J117" s="250">
        <v>5376.68</v>
      </c>
      <c r="K117" s="253">
        <v>23055.18</v>
      </c>
      <c r="L117" s="252" t="s">
        <v>659</v>
      </c>
      <c r="M117" s="620"/>
    </row>
    <row r="118" spans="1:13" s="292" customFormat="1" ht="27" customHeight="1" x14ac:dyDescent="0.25">
      <c r="A118" s="286">
        <v>30</v>
      </c>
      <c r="B118" s="247" t="s">
        <v>6</v>
      </c>
      <c r="C118" s="290">
        <f>SUM(C119:C120)</f>
        <v>1509794.05</v>
      </c>
      <c r="D118" s="288">
        <f t="shared" si="12"/>
        <v>1509794.05</v>
      </c>
      <c r="E118" s="289">
        <f>SUM(E119:E120)</f>
        <v>1105165.6807800003</v>
      </c>
      <c r="F118" s="289">
        <f>SUM(F119:F120)</f>
        <v>75489.702500000014</v>
      </c>
      <c r="G118" s="247">
        <f>SUM(G119:G120)</f>
        <v>329138.66671999986</v>
      </c>
      <c r="H118" s="288">
        <f t="shared" si="13"/>
        <v>1509794.0499999998</v>
      </c>
      <c r="I118" s="289">
        <f>SUM(I119:I120)</f>
        <v>1110604.5</v>
      </c>
      <c r="J118" s="289">
        <f>SUM(J119:J120)</f>
        <v>75489.700000000012</v>
      </c>
      <c r="K118" s="291">
        <f>SUM(K119:K120)</f>
        <v>323699.84999999998</v>
      </c>
      <c r="L118" s="290"/>
      <c r="M118" s="675"/>
    </row>
    <row r="119" spans="1:13" s="254" customFormat="1" ht="15" customHeight="1" outlineLevel="1" x14ac:dyDescent="0.25">
      <c r="A119" s="246"/>
      <c r="B119" s="248" t="s">
        <v>66</v>
      </c>
      <c r="C119" s="252">
        <f>1434254.85</f>
        <v>1434254.85</v>
      </c>
      <c r="D119" s="249">
        <f t="shared" si="12"/>
        <v>1434254.85</v>
      </c>
      <c r="E119" s="250">
        <f>C119*0.7356</f>
        <v>1055037.8676600002</v>
      </c>
      <c r="F119" s="250">
        <f>C119*5%</f>
        <v>71712.742500000008</v>
      </c>
      <c r="G119" s="251">
        <f>C119-E119-F119</f>
        <v>307504.23983999988</v>
      </c>
      <c r="H119" s="249">
        <f>I119+J119+K119</f>
        <v>1434254.8499999999</v>
      </c>
      <c r="I119" s="250">
        <v>1060476.69</v>
      </c>
      <c r="J119" s="250">
        <v>71712.740000000005</v>
      </c>
      <c r="K119" s="253">
        <v>302065.42</v>
      </c>
      <c r="L119" s="252" t="s">
        <v>634</v>
      </c>
      <c r="M119" s="620"/>
    </row>
    <row r="120" spans="1:13" s="166" customFormat="1" ht="15" customHeight="1" outlineLevel="1" x14ac:dyDescent="0.25">
      <c r="A120" s="246"/>
      <c r="B120" s="248" t="s">
        <v>67</v>
      </c>
      <c r="C120" s="252">
        <v>75539.199999999997</v>
      </c>
      <c r="D120" s="249">
        <f t="shared" si="12"/>
        <v>75539.199999999997</v>
      </c>
      <c r="E120" s="250">
        <f>C120*0.6636</f>
        <v>50127.813119999999</v>
      </c>
      <c r="F120" s="250">
        <f>C120*5%</f>
        <v>3776.96</v>
      </c>
      <c r="G120" s="251">
        <f>C120-E120-F120</f>
        <v>21634.426879999999</v>
      </c>
      <c r="H120" s="249">
        <f t="shared" ref="H120:H125" si="14">I120+J120+K120</f>
        <v>75539.199999999997</v>
      </c>
      <c r="I120" s="250">
        <v>50127.81</v>
      </c>
      <c r="J120" s="250">
        <v>3776.96</v>
      </c>
      <c r="K120" s="253">
        <v>21634.43</v>
      </c>
      <c r="L120" s="252" t="s">
        <v>622</v>
      </c>
      <c r="M120" s="716"/>
    </row>
    <row r="121" spans="1:13" s="292" customFormat="1" ht="31.5" customHeight="1" x14ac:dyDescent="0.25">
      <c r="A121" s="286">
        <v>31</v>
      </c>
      <c r="B121" s="247" t="s">
        <v>151</v>
      </c>
      <c r="C121" s="290">
        <f>SUM(C122:C124)</f>
        <v>347910.52</v>
      </c>
      <c r="D121" s="288">
        <f t="shared" si="12"/>
        <v>347910.52</v>
      </c>
      <c r="E121" s="289">
        <f>SUM(E122:E124)</f>
        <v>253274.07115200002</v>
      </c>
      <c r="F121" s="289">
        <f>SUM(F122:F124)</f>
        <v>17395.526000000002</v>
      </c>
      <c r="G121" s="247">
        <f>SUM(G122:G124)</f>
        <v>77240.922847999987</v>
      </c>
      <c r="H121" s="288">
        <f t="shared" si="14"/>
        <v>347910.52</v>
      </c>
      <c r="I121" s="289">
        <f>SUM(I122:I124)</f>
        <v>255922.98</v>
      </c>
      <c r="J121" s="289">
        <f>SUM(J122:J124)</f>
        <v>17395.53</v>
      </c>
      <c r="K121" s="291">
        <f>SUM(K122:K124)</f>
        <v>74592.009999999995</v>
      </c>
      <c r="L121" s="290"/>
      <c r="M121" s="675"/>
    </row>
    <row r="122" spans="1:13" s="254" customFormat="1" ht="15" customHeight="1" outlineLevel="1" x14ac:dyDescent="0.25">
      <c r="A122" s="246"/>
      <c r="B122" s="248" t="s">
        <v>65</v>
      </c>
      <c r="C122" s="252">
        <f>136921.31+2820.2</f>
        <v>139741.51</v>
      </c>
      <c r="D122" s="249">
        <f t="shared" si="12"/>
        <v>139741.51</v>
      </c>
      <c r="E122" s="250">
        <f>C122*0.7356</f>
        <v>102793.85475600002</v>
      </c>
      <c r="F122" s="250">
        <f>C122*5%</f>
        <v>6987.0755000000008</v>
      </c>
      <c r="G122" s="251">
        <f>C122-E122-F122</f>
        <v>29960.579743999995</v>
      </c>
      <c r="H122" s="249">
        <f t="shared" si="14"/>
        <v>139741.51</v>
      </c>
      <c r="I122" s="250">
        <f>103983.63</f>
        <v>103983.63</v>
      </c>
      <c r="J122" s="250">
        <f>6987.07</f>
        <v>6987.07</v>
      </c>
      <c r="K122" s="253">
        <f>28770.81</f>
        <v>28770.81</v>
      </c>
      <c r="L122" s="252" t="s">
        <v>634</v>
      </c>
      <c r="M122" s="620"/>
    </row>
    <row r="123" spans="1:13" s="254" customFormat="1" ht="15" customHeight="1" outlineLevel="1" x14ac:dyDescent="0.25">
      <c r="A123" s="246"/>
      <c r="B123" s="248" t="s">
        <v>66</v>
      </c>
      <c r="C123" s="252">
        <f>64052.91+107325.72</f>
        <v>171378.63</v>
      </c>
      <c r="D123" s="249">
        <f t="shared" si="12"/>
        <v>171378.63</v>
      </c>
      <c r="E123" s="250">
        <f>C123*0.7356</f>
        <v>126066.12022800001</v>
      </c>
      <c r="F123" s="250">
        <f>C123*5%</f>
        <v>8568.9315000000006</v>
      </c>
      <c r="G123" s="251">
        <f>C123-E123-F123</f>
        <v>36743.578271999992</v>
      </c>
      <c r="H123" s="249">
        <f t="shared" si="14"/>
        <v>171378.63</v>
      </c>
      <c r="I123" s="250">
        <f>127525.25</f>
        <v>127525.25</v>
      </c>
      <c r="J123" s="250">
        <f>8568.94</f>
        <v>8568.94</v>
      </c>
      <c r="K123" s="253">
        <f>35284.44</f>
        <v>35284.44</v>
      </c>
      <c r="L123" s="252" t="s">
        <v>634</v>
      </c>
      <c r="M123" s="620"/>
    </row>
    <row r="124" spans="1:13" s="166" customFormat="1" ht="15" customHeight="1" outlineLevel="1" x14ac:dyDescent="0.25">
      <c r="A124" s="246"/>
      <c r="B124" s="248" t="s">
        <v>67</v>
      </c>
      <c r="C124" s="252">
        <v>36790.379999999997</v>
      </c>
      <c r="D124" s="249">
        <f t="shared" ref="D124:D149" si="15">E124+F124+G124</f>
        <v>36790.379999999997</v>
      </c>
      <c r="E124" s="250">
        <f>C124*0.6636</f>
        <v>24414.096167999996</v>
      </c>
      <c r="F124" s="250">
        <f>C124*5%</f>
        <v>1839.519</v>
      </c>
      <c r="G124" s="251">
        <f>C124-E124-F124</f>
        <v>10536.764832000001</v>
      </c>
      <c r="H124" s="249">
        <f t="shared" si="14"/>
        <v>36790.379999999997</v>
      </c>
      <c r="I124" s="250">
        <v>24414.1</v>
      </c>
      <c r="J124" s="250">
        <v>1839.52</v>
      </c>
      <c r="K124" s="253">
        <v>10536.76</v>
      </c>
      <c r="L124" s="252" t="s">
        <v>622</v>
      </c>
      <c r="M124" s="716"/>
    </row>
    <row r="125" spans="1:13" s="292" customFormat="1" ht="29.25" customHeight="1" x14ac:dyDescent="0.25">
      <c r="A125" s="286">
        <v>32</v>
      </c>
      <c r="B125" s="247" t="s">
        <v>167</v>
      </c>
      <c r="C125" s="290">
        <f>SUM(C126:C126)</f>
        <v>1300645.5899999999</v>
      </c>
      <c r="D125" s="288">
        <f t="shared" si="15"/>
        <v>1300645.5899999999</v>
      </c>
      <c r="E125" s="289">
        <f>SUM(E126:E126)</f>
        <v>956754.9</v>
      </c>
      <c r="F125" s="289">
        <f>SUM(F126:F126)</f>
        <v>65032.28</v>
      </c>
      <c r="G125" s="247">
        <f>SUM(G126:G126)</f>
        <v>278858.4099999998</v>
      </c>
      <c r="H125" s="288">
        <f t="shared" si="14"/>
        <v>1300645.5900000001</v>
      </c>
      <c r="I125" s="289">
        <f>SUM(I126:I126)</f>
        <v>956754.9</v>
      </c>
      <c r="J125" s="289">
        <f>SUM(J126:J126)</f>
        <v>65032.28</v>
      </c>
      <c r="K125" s="291">
        <f>SUM(K126:K126)</f>
        <v>278858.40999999997</v>
      </c>
      <c r="L125" s="290"/>
      <c r="M125" s="675"/>
    </row>
    <row r="126" spans="1:13" s="254" customFormat="1" ht="15" customHeight="1" outlineLevel="1" x14ac:dyDescent="0.25">
      <c r="A126" s="246"/>
      <c r="B126" s="248" t="s">
        <v>555</v>
      </c>
      <c r="C126" s="252">
        <f>1159403.18+141242.41</f>
        <v>1300645.5899999999</v>
      </c>
      <c r="D126" s="249">
        <f t="shared" si="15"/>
        <v>1300645.5899999999</v>
      </c>
      <c r="E126" s="250">
        <f>ROUND(C126*0.7356,2)</f>
        <v>956754.9</v>
      </c>
      <c r="F126" s="250">
        <f>ROUND(C126*0.05,2)</f>
        <v>65032.28</v>
      </c>
      <c r="G126" s="251">
        <f>C126-E126-F126</f>
        <v>278858.4099999998</v>
      </c>
      <c r="H126" s="249">
        <f>I126+J126+K126</f>
        <v>1300645.5900000001</v>
      </c>
      <c r="I126" s="250">
        <v>956754.9</v>
      </c>
      <c r="J126" s="250">
        <v>65032.28</v>
      </c>
      <c r="K126" s="253">
        <v>278858.40999999997</v>
      </c>
      <c r="L126" s="252" t="s">
        <v>636</v>
      </c>
      <c r="M126" s="620"/>
    </row>
    <row r="127" spans="1:13" s="292" customFormat="1" ht="29.25" customHeight="1" x14ac:dyDescent="0.25">
      <c r="A127" s="286">
        <v>33</v>
      </c>
      <c r="B127" s="247" t="s">
        <v>168</v>
      </c>
      <c r="C127" s="290">
        <f>SUM(C128:C129)</f>
        <v>4254763.29</v>
      </c>
      <c r="D127" s="288">
        <f t="shared" si="15"/>
        <v>4254763.29</v>
      </c>
      <c r="E127" s="289">
        <f>SUM(E128:E129)</f>
        <v>3129803.8761240002</v>
      </c>
      <c r="F127" s="289">
        <f>SUM(F128:F129)</f>
        <v>212738.16450000001</v>
      </c>
      <c r="G127" s="247">
        <f>SUM(G128:G129)</f>
        <v>912221.24937599991</v>
      </c>
      <c r="H127" s="288">
        <f t="shared" ref="H127:H131" si="16">I127+J127+K127</f>
        <v>4254763.29</v>
      </c>
      <c r="I127" s="289">
        <f>SUM(I128:I129)</f>
        <v>3129803.88</v>
      </c>
      <c r="J127" s="289">
        <f>SUM(J128:J129)</f>
        <v>212738.16</v>
      </c>
      <c r="K127" s="291">
        <f>SUM(K128:K129)</f>
        <v>912221.25</v>
      </c>
      <c r="L127" s="290"/>
      <c r="M127" s="675"/>
    </row>
    <row r="128" spans="1:13" s="254" customFormat="1" ht="15" customHeight="1" outlineLevel="1" x14ac:dyDescent="0.25">
      <c r="A128" s="246"/>
      <c r="B128" s="248" t="s">
        <v>555</v>
      </c>
      <c r="C128" s="252">
        <v>4161347.06</v>
      </c>
      <c r="D128" s="249">
        <f t="shared" ref="D128" si="17">E128+F128+G128</f>
        <v>4161347.06</v>
      </c>
      <c r="E128" s="250">
        <f>C128*0.7356</f>
        <v>3061086.8973360001</v>
      </c>
      <c r="F128" s="250">
        <f>C128*5%</f>
        <v>208067.353</v>
      </c>
      <c r="G128" s="251">
        <f>C128-E128-F128</f>
        <v>892192.80966399994</v>
      </c>
      <c r="H128" s="249">
        <f t="shared" si="16"/>
        <v>4161347.06</v>
      </c>
      <c r="I128" s="250">
        <v>3061086.9</v>
      </c>
      <c r="J128" s="250">
        <v>208067.35</v>
      </c>
      <c r="K128" s="253">
        <v>892192.81</v>
      </c>
      <c r="L128" s="252" t="s">
        <v>728</v>
      </c>
      <c r="M128" s="620"/>
    </row>
    <row r="129" spans="1:13" s="254" customFormat="1" ht="15" customHeight="1" outlineLevel="1" x14ac:dyDescent="0.25">
      <c r="A129" s="246"/>
      <c r="B129" s="248" t="s">
        <v>67</v>
      </c>
      <c r="C129" s="252">
        <v>93416.23</v>
      </c>
      <c r="D129" s="249">
        <f t="shared" si="15"/>
        <v>93416.23</v>
      </c>
      <c r="E129" s="250">
        <f>C129*0.7356</f>
        <v>68716.978787999993</v>
      </c>
      <c r="F129" s="250">
        <f>C129*5%</f>
        <v>4670.8114999999998</v>
      </c>
      <c r="G129" s="251">
        <f>C129-E129-F129</f>
        <v>20028.439712000003</v>
      </c>
      <c r="H129" s="249">
        <f t="shared" si="16"/>
        <v>93416.23</v>
      </c>
      <c r="I129" s="250">
        <v>68716.98</v>
      </c>
      <c r="J129" s="250">
        <v>4670.8100000000004</v>
      </c>
      <c r="K129" s="253">
        <v>20028.439999999999</v>
      </c>
      <c r="L129" s="252" t="s">
        <v>659</v>
      </c>
      <c r="M129" s="620"/>
    </row>
    <row r="130" spans="1:13" s="292" customFormat="1" ht="30" customHeight="1" x14ac:dyDescent="0.25">
      <c r="A130" s="286">
        <v>34</v>
      </c>
      <c r="B130" s="247" t="s">
        <v>169</v>
      </c>
      <c r="C130" s="290">
        <f>SUM(C131:C131)</f>
        <v>2940083.2800000003</v>
      </c>
      <c r="D130" s="288">
        <f t="shared" si="15"/>
        <v>2940083.2800000003</v>
      </c>
      <c r="E130" s="289">
        <f>SUM(E131:E131)</f>
        <v>2160373.1941440003</v>
      </c>
      <c r="F130" s="289">
        <f>SUM(F131:F131)</f>
        <v>147004.16400000002</v>
      </c>
      <c r="G130" s="247">
        <f>SUM(G131:G131)</f>
        <v>632705.92185599997</v>
      </c>
      <c r="H130" s="288">
        <f t="shared" si="16"/>
        <v>2940083.2800000003</v>
      </c>
      <c r="I130" s="289">
        <f>SUM(I131:I131)</f>
        <v>2160373.2000000002</v>
      </c>
      <c r="J130" s="289">
        <f>SUM(J131:J131)</f>
        <v>147004.155</v>
      </c>
      <c r="K130" s="291">
        <f>SUM(K131:K131)</f>
        <v>632705.92500000005</v>
      </c>
      <c r="L130" s="290"/>
      <c r="M130" s="675"/>
    </row>
    <row r="131" spans="1:13" s="254" customFormat="1" outlineLevel="1" x14ac:dyDescent="0.25">
      <c r="A131" s="246"/>
      <c r="B131" s="248" t="s">
        <v>555</v>
      </c>
      <c r="C131" s="252">
        <f>2665977.54+274105.74</f>
        <v>2940083.2800000003</v>
      </c>
      <c r="D131" s="249">
        <f t="shared" si="15"/>
        <v>2940083.2800000003</v>
      </c>
      <c r="E131" s="250">
        <f>C131*0.7348</f>
        <v>2160373.1941440003</v>
      </c>
      <c r="F131" s="250">
        <f>C131*5%</f>
        <v>147004.16400000002</v>
      </c>
      <c r="G131" s="251">
        <f>C131-E131-F131</f>
        <v>632705.92185599997</v>
      </c>
      <c r="H131" s="249">
        <f t="shared" si="16"/>
        <v>2940083.2800000003</v>
      </c>
      <c r="I131" s="250">
        <v>2160373.2000000002</v>
      </c>
      <c r="J131" s="250">
        <v>147004.155</v>
      </c>
      <c r="K131" s="253">
        <v>632705.92500000005</v>
      </c>
      <c r="L131" s="252" t="s">
        <v>626</v>
      </c>
      <c r="M131" s="620"/>
    </row>
    <row r="132" spans="1:13" s="292" customFormat="1" ht="25.5" customHeight="1" x14ac:dyDescent="0.25">
      <c r="A132" s="286">
        <v>35</v>
      </c>
      <c r="B132" s="247" t="s">
        <v>170</v>
      </c>
      <c r="C132" s="290">
        <f>SUM(C133:C134)</f>
        <v>5960147.9400000004</v>
      </c>
      <c r="D132" s="288">
        <f t="shared" si="15"/>
        <v>5960147.9399999995</v>
      </c>
      <c r="E132" s="289">
        <f>SUM(E133:E134)</f>
        <v>5028100.0106867999</v>
      </c>
      <c r="F132" s="289">
        <f>SUM(F133:F134)</f>
        <v>298007.39400000003</v>
      </c>
      <c r="G132" s="247">
        <f>SUM(G133:G134)</f>
        <v>634040.53531319974</v>
      </c>
      <c r="H132" s="288">
        <f>I132+J132+K132</f>
        <v>5960147.9399999995</v>
      </c>
      <c r="I132" s="289">
        <f>SUM(I133:I134)</f>
        <v>5028100.01</v>
      </c>
      <c r="J132" s="289">
        <f>SUM(J133:J134)</f>
        <v>298007.39</v>
      </c>
      <c r="K132" s="291">
        <f>SUM(K133:K134)</f>
        <v>634040.54</v>
      </c>
      <c r="L132" s="290"/>
      <c r="M132" s="675"/>
    </row>
    <row r="133" spans="1:13" s="254" customFormat="1" ht="15" customHeight="1" outlineLevel="1" x14ac:dyDescent="0.25">
      <c r="A133" s="246"/>
      <c r="B133" s="248" t="s">
        <v>555</v>
      </c>
      <c r="C133" s="252">
        <v>5845595.2000000002</v>
      </c>
      <c r="D133" s="249">
        <f t="shared" si="15"/>
        <v>5845595.2000000002</v>
      </c>
      <c r="E133" s="250">
        <v>4943835.0151428003</v>
      </c>
      <c r="F133" s="250">
        <v>292279.75700000004</v>
      </c>
      <c r="G133" s="251">
        <v>609480.4278571998</v>
      </c>
      <c r="H133" s="249">
        <f>SUM(I133:K133)</f>
        <v>5845595.1999999993</v>
      </c>
      <c r="I133" s="250">
        <v>4943835.0199999996</v>
      </c>
      <c r="J133" s="250">
        <v>292279.75</v>
      </c>
      <c r="K133" s="253">
        <v>609480.43000000005</v>
      </c>
      <c r="L133" s="252" t="s">
        <v>817</v>
      </c>
      <c r="M133" s="659">
        <v>42615</v>
      </c>
    </row>
    <row r="134" spans="1:13" s="254" customFormat="1" ht="15" customHeight="1" outlineLevel="1" x14ac:dyDescent="0.25">
      <c r="A134" s="246"/>
      <c r="B134" s="248" t="s">
        <v>67</v>
      </c>
      <c r="C134" s="252">
        <v>114552.74</v>
      </c>
      <c r="D134" s="249">
        <f t="shared" si="15"/>
        <v>114552.74</v>
      </c>
      <c r="E134" s="250">
        <f>C134*0.7356</f>
        <v>84264.995544000005</v>
      </c>
      <c r="F134" s="250">
        <f>C134*5%</f>
        <v>5727.6370000000006</v>
      </c>
      <c r="G134" s="251">
        <f>C134-E134-F134</f>
        <v>24560.107455999998</v>
      </c>
      <c r="H134" s="249">
        <f t="shared" ref="H134" si="18">I134+J134+K134</f>
        <v>114552.74</v>
      </c>
      <c r="I134" s="250">
        <v>84264.99</v>
      </c>
      <c r="J134" s="250">
        <v>5727.64</v>
      </c>
      <c r="K134" s="253">
        <v>24560.11</v>
      </c>
      <c r="L134" s="252" t="s">
        <v>659</v>
      </c>
      <c r="M134" s="620"/>
    </row>
    <row r="135" spans="1:13" s="292" customFormat="1" ht="34.5" customHeight="1" x14ac:dyDescent="0.25">
      <c r="A135" s="286">
        <v>36</v>
      </c>
      <c r="B135" s="247" t="s">
        <v>171</v>
      </c>
      <c r="C135" s="290">
        <f>SUM(C136:C137)</f>
        <v>12925076.220000001</v>
      </c>
      <c r="D135" s="288">
        <f t="shared" si="15"/>
        <v>12925076.220000001</v>
      </c>
      <c r="E135" s="289">
        <f>SUM(E136:E137)</f>
        <v>9808573.4720736016</v>
      </c>
      <c r="F135" s="289">
        <f>SUM(F136:F137)</f>
        <v>646253.8110000001</v>
      </c>
      <c r="G135" s="247">
        <f>SUM(G136:G137)</f>
        <v>2470248.9369263989</v>
      </c>
      <c r="H135" s="288">
        <f>I135+J135+K135</f>
        <v>12925076.220000003</v>
      </c>
      <c r="I135" s="289">
        <f>SUM(I136:I137)</f>
        <v>9811683.8600000013</v>
      </c>
      <c r="J135" s="289">
        <f>SUM(J136:J137)</f>
        <v>646253.80999999994</v>
      </c>
      <c r="K135" s="291">
        <f>SUM(K136:K137)</f>
        <v>2467138.5499999998</v>
      </c>
      <c r="L135" s="290"/>
      <c r="M135" s="675"/>
    </row>
    <row r="136" spans="1:13" s="254" customFormat="1" ht="15" customHeight="1" outlineLevel="1" x14ac:dyDescent="0.25">
      <c r="A136" s="246"/>
      <c r="B136" s="248" t="s">
        <v>555</v>
      </c>
      <c r="C136" s="252">
        <v>12792831.83</v>
      </c>
      <c r="D136" s="249">
        <f t="shared" si="15"/>
        <v>12792831.829999998</v>
      </c>
      <c r="E136" s="250">
        <f>C136*0.75912</f>
        <v>9711294.498789601</v>
      </c>
      <c r="F136" s="250">
        <f>C136*5%</f>
        <v>639641.5915000001</v>
      </c>
      <c r="G136" s="251">
        <f>C136-E136-F136</f>
        <v>2441895.7397103989</v>
      </c>
      <c r="H136" s="249">
        <f t="shared" ref="H136:H137" si="19">I136+J136+K136</f>
        <v>12792831.83</v>
      </c>
      <c r="I136" s="250">
        <v>9714404.8800000008</v>
      </c>
      <c r="J136" s="250">
        <v>639641.59</v>
      </c>
      <c r="K136" s="253">
        <v>2438785.36</v>
      </c>
      <c r="L136" s="252" t="s">
        <v>728</v>
      </c>
      <c r="M136" s="620"/>
    </row>
    <row r="137" spans="1:13" s="254" customFormat="1" ht="15" customHeight="1" outlineLevel="1" x14ac:dyDescent="0.25">
      <c r="A137" s="246"/>
      <c r="B137" s="248" t="s">
        <v>67</v>
      </c>
      <c r="C137" s="385">
        <v>132244.39000000001</v>
      </c>
      <c r="D137" s="249">
        <f t="shared" si="15"/>
        <v>132244.39000000001</v>
      </c>
      <c r="E137" s="250">
        <f>C137*0.7356</f>
        <v>97278.973284000022</v>
      </c>
      <c r="F137" s="250">
        <f>C137*5%</f>
        <v>6612.2195000000011</v>
      </c>
      <c r="G137" s="251">
        <f>C137-E137-F137</f>
        <v>28353.197215999993</v>
      </c>
      <c r="H137" s="249">
        <f t="shared" si="19"/>
        <v>132244.38999999998</v>
      </c>
      <c r="I137" s="250">
        <v>97278.98</v>
      </c>
      <c r="J137" s="250">
        <v>6612.22</v>
      </c>
      <c r="K137" s="253">
        <v>28353.19</v>
      </c>
      <c r="L137" s="252" t="s">
        <v>659</v>
      </c>
      <c r="M137" s="620"/>
    </row>
    <row r="138" spans="1:13" s="292" customFormat="1" ht="31.5" customHeight="1" x14ac:dyDescent="0.25">
      <c r="A138" s="286">
        <v>37</v>
      </c>
      <c r="B138" s="247" t="s">
        <v>172</v>
      </c>
      <c r="C138" s="290">
        <f>SUM(C139:C140)</f>
        <v>5909987.0700000003</v>
      </c>
      <c r="D138" s="288">
        <f t="shared" si="15"/>
        <v>5909987.0700000003</v>
      </c>
      <c r="E138" s="289">
        <f>SUM(E139:E140)</f>
        <v>4347386.4886920005</v>
      </c>
      <c r="F138" s="289">
        <f>SUM(F139:F140)</f>
        <v>295499.35350000003</v>
      </c>
      <c r="G138" s="247">
        <f>SUM(G139:G140)</f>
        <v>1267101.2278079994</v>
      </c>
      <c r="H138" s="288">
        <f>I138+J138+K138</f>
        <v>5909987.0700000003</v>
      </c>
      <c r="I138" s="289">
        <f>SUM(I139:I140)</f>
        <v>4347386.49</v>
      </c>
      <c r="J138" s="289">
        <f>SUM(J139:J140)</f>
        <v>295499.36</v>
      </c>
      <c r="K138" s="291">
        <f>SUM(K139:K140)</f>
        <v>1267101.22</v>
      </c>
      <c r="L138" s="290"/>
      <c r="M138" s="675"/>
    </row>
    <row r="139" spans="1:13" s="254" customFormat="1" ht="15" customHeight="1" outlineLevel="1" x14ac:dyDescent="0.2">
      <c r="A139" s="246"/>
      <c r="B139" s="248" t="s">
        <v>555</v>
      </c>
      <c r="C139" s="530">
        <v>5803718.9400000004</v>
      </c>
      <c r="D139" s="249">
        <f t="shared" ref="D139" si="20">E139+F139+G139</f>
        <v>5803718.9399999995</v>
      </c>
      <c r="E139" s="250">
        <f>C139*0.7356</f>
        <v>4269215.6522640008</v>
      </c>
      <c r="F139" s="250">
        <f>C139*5%</f>
        <v>290185.94700000004</v>
      </c>
      <c r="G139" s="251">
        <f>C139-E139-F139</f>
        <v>1244317.3407359994</v>
      </c>
      <c r="H139" s="249">
        <f t="shared" ref="H139" si="21">I139+J139+K139</f>
        <v>5803718.9400000004</v>
      </c>
      <c r="I139" s="250">
        <v>4269215.6500000004</v>
      </c>
      <c r="J139" s="250">
        <v>290185.95</v>
      </c>
      <c r="K139" s="253">
        <v>1244317.3400000001</v>
      </c>
      <c r="L139" s="252" t="s">
        <v>708</v>
      </c>
      <c r="M139" s="620"/>
    </row>
    <row r="140" spans="1:13" s="254" customFormat="1" ht="15" customHeight="1" outlineLevel="1" x14ac:dyDescent="0.25">
      <c r="A140" s="246"/>
      <c r="B140" s="248" t="s">
        <v>67</v>
      </c>
      <c r="C140" s="252">
        <v>106268.13</v>
      </c>
      <c r="D140" s="249">
        <f t="shared" si="15"/>
        <v>106268.13</v>
      </c>
      <c r="E140" s="250">
        <f>C140*0.7356</f>
        <v>78170.83642800001</v>
      </c>
      <c r="F140" s="250">
        <f>C140*5%</f>
        <v>5313.406500000001</v>
      </c>
      <c r="G140" s="251">
        <f>C140-E140-F140</f>
        <v>22783.887071999994</v>
      </c>
      <c r="H140" s="249">
        <f>I140+J140+K140</f>
        <v>106268.13</v>
      </c>
      <c r="I140" s="250">
        <v>78170.84</v>
      </c>
      <c r="J140" s="250">
        <v>5313.41</v>
      </c>
      <c r="K140" s="253">
        <v>22783.88</v>
      </c>
      <c r="L140" s="252" t="s">
        <v>647</v>
      </c>
      <c r="M140" s="620"/>
    </row>
    <row r="141" spans="1:13" s="73" customFormat="1" ht="27" customHeight="1" x14ac:dyDescent="0.25">
      <c r="A141" s="88">
        <v>38</v>
      </c>
      <c r="B141" s="80" t="s">
        <v>173</v>
      </c>
      <c r="C141" s="63">
        <f>SUM(C142:C143)</f>
        <v>1122493.07</v>
      </c>
      <c r="D141" s="40">
        <f t="shared" si="15"/>
        <v>1122493.07</v>
      </c>
      <c r="E141" s="75">
        <f>SUM(E142:E143)</f>
        <v>946957.59549199999</v>
      </c>
      <c r="F141" s="75">
        <f>SUM(F142:F143)</f>
        <v>56124.6535</v>
      </c>
      <c r="G141" s="80">
        <f>SUM(G142:G143)</f>
        <v>119410.821008</v>
      </c>
      <c r="H141" s="40">
        <f>I141+J141+K141</f>
        <v>1122493.07</v>
      </c>
      <c r="I141" s="75">
        <f>SUM(I142:I143)</f>
        <v>946957.6</v>
      </c>
      <c r="J141" s="75">
        <f>SUM(J142:J143)</f>
        <v>56124.65</v>
      </c>
      <c r="K141" s="181">
        <f>SUM(K142:K143)</f>
        <v>119410.81999999999</v>
      </c>
      <c r="L141" s="63"/>
      <c r="M141" s="706"/>
    </row>
    <row r="142" spans="1:13" s="254" customFormat="1" ht="15" customHeight="1" outlineLevel="1" x14ac:dyDescent="0.25">
      <c r="A142" s="246"/>
      <c r="B142" s="248" t="s">
        <v>555</v>
      </c>
      <c r="C142" s="252">
        <v>1030578</v>
      </c>
      <c r="D142" s="249">
        <f t="shared" si="15"/>
        <v>1030578</v>
      </c>
      <c r="E142" s="250">
        <v>879344.87</v>
      </c>
      <c r="F142" s="250">
        <v>51528.9</v>
      </c>
      <c r="G142" s="251">
        <v>99704.23</v>
      </c>
      <c r="H142" s="249">
        <f>SUM(I142:K142)</f>
        <v>1030578</v>
      </c>
      <c r="I142" s="250">
        <v>879344.87</v>
      </c>
      <c r="J142" s="250">
        <v>51528.9</v>
      </c>
      <c r="K142" s="253">
        <v>99704.23</v>
      </c>
      <c r="L142" s="252" t="s">
        <v>824</v>
      </c>
      <c r="M142" s="658">
        <v>42618</v>
      </c>
    </row>
    <row r="143" spans="1:13" s="254" customFormat="1" ht="15" customHeight="1" outlineLevel="1" x14ac:dyDescent="0.25">
      <c r="A143" s="246"/>
      <c r="B143" s="248" t="s">
        <v>67</v>
      </c>
      <c r="C143" s="252">
        <v>91915.07</v>
      </c>
      <c r="D143" s="249">
        <f t="shared" si="15"/>
        <v>91915.07</v>
      </c>
      <c r="E143" s="250">
        <f>C143*0.7356</f>
        <v>67612.725492000012</v>
      </c>
      <c r="F143" s="250">
        <f>C143*5%</f>
        <v>4595.7535000000007</v>
      </c>
      <c r="G143" s="251">
        <f>C143-E143-F143</f>
        <v>19706.591007999996</v>
      </c>
      <c r="H143" s="249">
        <f>I143+J143+K143</f>
        <v>91915.069999999992</v>
      </c>
      <c r="I143" s="250">
        <v>67612.73</v>
      </c>
      <c r="J143" s="250">
        <v>4595.75</v>
      </c>
      <c r="K143" s="253">
        <v>19706.59</v>
      </c>
      <c r="L143" s="252" t="s">
        <v>647</v>
      </c>
      <c r="M143" s="620"/>
    </row>
    <row r="144" spans="1:13" s="73" customFormat="1" ht="28.5" customHeight="1" x14ac:dyDescent="0.25">
      <c r="A144" s="88">
        <v>39</v>
      </c>
      <c r="B144" s="80" t="s">
        <v>153</v>
      </c>
      <c r="C144" s="63">
        <f>SUM(C145:C147)</f>
        <v>6537213.3499999996</v>
      </c>
      <c r="D144" s="40">
        <f t="shared" si="15"/>
        <v>6537213.3499999996</v>
      </c>
      <c r="E144" s="75">
        <f>SUM(E145:E147)</f>
        <v>4942284.8521991996</v>
      </c>
      <c r="F144" s="75">
        <f>SUM(F145:F147)</f>
        <v>326860.66750000004</v>
      </c>
      <c r="G144" s="80">
        <f>SUM(G145:G147)</f>
        <v>1268067.8303007998</v>
      </c>
      <c r="H144" s="40">
        <f>I144+J144+K144</f>
        <v>6537213.3499999996</v>
      </c>
      <c r="I144" s="75">
        <f>SUM(I145:I147)</f>
        <v>4962529.3999999994</v>
      </c>
      <c r="J144" s="75">
        <f>SUM(J145:J147)</f>
        <v>326860.67000000004</v>
      </c>
      <c r="K144" s="181">
        <f>SUM(K145:K147)</f>
        <v>1247823.28</v>
      </c>
      <c r="L144" s="63"/>
      <c r="M144" s="706"/>
    </row>
    <row r="145" spans="1:13" s="254" customFormat="1" ht="15" customHeight="1" outlineLevel="1" x14ac:dyDescent="0.25">
      <c r="A145" s="246"/>
      <c r="B145" s="248" t="s">
        <v>64</v>
      </c>
      <c r="C145" s="252">
        <v>6325272.96</v>
      </c>
      <c r="D145" s="249">
        <f t="shared" si="15"/>
        <v>6325272.96</v>
      </c>
      <c r="E145" s="250">
        <f>C145*0.75912</f>
        <v>4801641.2093952</v>
      </c>
      <c r="F145" s="250">
        <f>C145*0.05</f>
        <v>316263.64800000004</v>
      </c>
      <c r="G145" s="251">
        <f>C145-E145-F145</f>
        <v>1207368.1026047999</v>
      </c>
      <c r="H145" s="249">
        <f>I145+J145+K145</f>
        <v>6325272.96</v>
      </c>
      <c r="I145" s="250">
        <v>4821885.76</v>
      </c>
      <c r="J145" s="250">
        <v>316263.65000000002</v>
      </c>
      <c r="K145" s="253">
        <v>1187123.55</v>
      </c>
      <c r="L145" s="252" t="s">
        <v>730</v>
      </c>
      <c r="M145" s="620"/>
    </row>
    <row r="146" spans="1:13" ht="15" customHeight="1" outlineLevel="1" x14ac:dyDescent="0.25">
      <c r="A146" s="89"/>
      <c r="B146" s="16" t="s">
        <v>557</v>
      </c>
      <c r="C146" s="47"/>
      <c r="D146" s="42">
        <f t="shared" si="15"/>
        <v>0</v>
      </c>
      <c r="E146" s="72"/>
      <c r="F146" s="72"/>
      <c r="G146" s="92"/>
      <c r="H146" s="42"/>
      <c r="I146" s="72"/>
      <c r="J146" s="72"/>
      <c r="K146" s="182"/>
      <c r="L146" s="47"/>
    </row>
    <row r="147" spans="1:13" s="254" customFormat="1" ht="15" customHeight="1" outlineLevel="1" x14ac:dyDescent="0.25">
      <c r="A147" s="246"/>
      <c r="B147" s="248" t="s">
        <v>67</v>
      </c>
      <c r="C147" s="252">
        <v>211940.39</v>
      </c>
      <c r="D147" s="249">
        <f t="shared" si="15"/>
        <v>211940.39</v>
      </c>
      <c r="E147" s="250">
        <f>C147*0.6636</f>
        <v>140643.642804</v>
      </c>
      <c r="F147" s="250">
        <f>C147*5%</f>
        <v>10597.019500000002</v>
      </c>
      <c r="G147" s="251">
        <f>C147-E147-F147</f>
        <v>60699.727696000009</v>
      </c>
      <c r="H147" s="249">
        <f>I147+J147+K147</f>
        <v>211940.39</v>
      </c>
      <c r="I147" s="250">
        <v>140643.64000000001</v>
      </c>
      <c r="J147" s="250">
        <v>10597.02</v>
      </c>
      <c r="K147" s="253">
        <v>60699.73</v>
      </c>
      <c r="L147" s="252" t="s">
        <v>622</v>
      </c>
      <c r="M147" s="620"/>
    </row>
    <row r="148" spans="1:13" s="73" customFormat="1" ht="33" customHeight="1" x14ac:dyDescent="0.25">
      <c r="A148" s="286">
        <v>40</v>
      </c>
      <c r="B148" s="247" t="s">
        <v>174</v>
      </c>
      <c r="C148" s="290">
        <f>SUM(C149:C149)</f>
        <v>2666467.2200000002</v>
      </c>
      <c r="D148" s="288">
        <f t="shared" si="15"/>
        <v>2666467.2200000002</v>
      </c>
      <c r="E148" s="289">
        <f>SUM(E149:E149)</f>
        <v>1961453.2870320003</v>
      </c>
      <c r="F148" s="289">
        <f>SUM(F149:F149)</f>
        <v>133323.361</v>
      </c>
      <c r="G148" s="247">
        <f>SUM(G149:G149)</f>
        <v>571690.57196799992</v>
      </c>
      <c r="H148" s="288">
        <f>I148+J148+K148</f>
        <v>2666467.2199999997</v>
      </c>
      <c r="I148" s="289">
        <f>SUM(I149:I149)</f>
        <v>1961453.29</v>
      </c>
      <c r="J148" s="289">
        <f>SUM(J149:J149)</f>
        <v>133323.35999999999</v>
      </c>
      <c r="K148" s="291">
        <f>SUM(K149:K149)</f>
        <v>571690.56999999995</v>
      </c>
      <c r="L148" s="290"/>
      <c r="M148" s="706"/>
    </row>
    <row r="149" spans="1:13" ht="15" customHeight="1" outlineLevel="1" x14ac:dyDescent="0.25">
      <c r="A149" s="246"/>
      <c r="B149" s="248" t="s">
        <v>555</v>
      </c>
      <c r="C149" s="252">
        <f>2382407.33+43907.42+240152.47</f>
        <v>2666467.2200000002</v>
      </c>
      <c r="D149" s="249">
        <f t="shared" si="15"/>
        <v>2666467.2200000002</v>
      </c>
      <c r="E149" s="250">
        <f>C149*0.7356</f>
        <v>1961453.2870320003</v>
      </c>
      <c r="F149" s="250">
        <f>C149*0.05</f>
        <v>133323.361</v>
      </c>
      <c r="G149" s="251">
        <f>C149-E149-F149</f>
        <v>571690.57196799992</v>
      </c>
      <c r="H149" s="249">
        <f>I149+J149+K149</f>
        <v>2666467.2199999997</v>
      </c>
      <c r="I149" s="250">
        <v>1961453.29</v>
      </c>
      <c r="J149" s="250">
        <v>133323.35999999999</v>
      </c>
      <c r="K149" s="253">
        <v>571690.56999999995</v>
      </c>
      <c r="L149" s="252" t="s">
        <v>637</v>
      </c>
    </row>
    <row r="150" spans="1:13" s="292" customFormat="1" ht="30" customHeight="1" x14ac:dyDescent="0.25">
      <c r="A150" s="286">
        <v>41</v>
      </c>
      <c r="B150" s="247" t="s">
        <v>175</v>
      </c>
      <c r="C150" s="290">
        <f>SUM(C151:C152)</f>
        <v>6009714.3600000003</v>
      </c>
      <c r="D150" s="288">
        <f t="shared" ref="D150:D179" si="22">E150+F150+G150</f>
        <v>6009714.3600000013</v>
      </c>
      <c r="E150" s="289">
        <f>SUM(E151:E152)</f>
        <v>4420745.8832160002</v>
      </c>
      <c r="F150" s="289">
        <f>SUM(F151:F152)</f>
        <v>300485.71800000005</v>
      </c>
      <c r="G150" s="247">
        <f>SUM(G151:G152)</f>
        <v>1288482.7587840003</v>
      </c>
      <c r="H150" s="288">
        <f>I150+J150+K150</f>
        <v>6009714.3599999994</v>
      </c>
      <c r="I150" s="289">
        <f>SUM(I151:I152)</f>
        <v>4420745.88</v>
      </c>
      <c r="J150" s="289">
        <f>SUM(J151:J152)</f>
        <v>300485.71000000002</v>
      </c>
      <c r="K150" s="291">
        <f>SUM(K151:K152)</f>
        <v>1288482.77</v>
      </c>
      <c r="L150" s="290"/>
      <c r="M150" s="675"/>
    </row>
    <row r="151" spans="1:13" s="254" customFormat="1" ht="15" customHeight="1" outlineLevel="1" x14ac:dyDescent="0.25">
      <c r="A151" s="246"/>
      <c r="B151" s="248" t="s">
        <v>555</v>
      </c>
      <c r="C151" s="252">
        <v>5912748.9100000001</v>
      </c>
      <c r="D151" s="249">
        <f t="shared" ref="D151" si="23">E151+F151+G151</f>
        <v>5912748.9100000001</v>
      </c>
      <c r="E151" s="250">
        <f>C151*0.7356</f>
        <v>4349418.0981959999</v>
      </c>
      <c r="F151" s="250">
        <f>C151*0.05</f>
        <v>295637.44550000003</v>
      </c>
      <c r="G151" s="251">
        <f>C151-E151-F151</f>
        <v>1267693.3663040004</v>
      </c>
      <c r="H151" s="249">
        <f t="shared" ref="H151" si="24">I151+J151+K151</f>
        <v>5912748.9100000001</v>
      </c>
      <c r="I151" s="250">
        <v>4349418.0999999996</v>
      </c>
      <c r="J151" s="250">
        <v>295637.44</v>
      </c>
      <c r="K151" s="253">
        <v>1267693.3700000001</v>
      </c>
      <c r="L151" s="252" t="s">
        <v>708</v>
      </c>
      <c r="M151" s="620"/>
    </row>
    <row r="152" spans="1:13" s="254" customFormat="1" ht="15" customHeight="1" outlineLevel="1" x14ac:dyDescent="0.25">
      <c r="A152" s="246"/>
      <c r="B152" s="248" t="s">
        <v>67</v>
      </c>
      <c r="C152" s="252">
        <v>96965.45</v>
      </c>
      <c r="D152" s="249">
        <f t="shared" si="22"/>
        <v>96965.450000000012</v>
      </c>
      <c r="E152" s="250">
        <f>C152*0.7356</f>
        <v>71327.785019999996</v>
      </c>
      <c r="F152" s="250">
        <f>C152*5%</f>
        <v>4848.2725</v>
      </c>
      <c r="G152" s="251">
        <f>C152-E152-F152</f>
        <v>20789.392480000002</v>
      </c>
      <c r="H152" s="249">
        <f>I152+J152+K152</f>
        <v>96965.450000000012</v>
      </c>
      <c r="I152" s="250">
        <v>71327.78</v>
      </c>
      <c r="J152" s="250">
        <v>4848.2700000000004</v>
      </c>
      <c r="K152" s="253">
        <v>20789.400000000001</v>
      </c>
      <c r="L152" s="252" t="s">
        <v>647</v>
      </c>
      <c r="M152" s="620"/>
    </row>
    <row r="153" spans="1:13" s="73" customFormat="1" ht="34.5" customHeight="1" x14ac:dyDescent="0.25">
      <c r="A153" s="286">
        <v>42</v>
      </c>
      <c r="B153" s="247" t="s">
        <v>176</v>
      </c>
      <c r="C153" s="290">
        <f>SUM(C154:C154)</f>
        <v>2166473.44</v>
      </c>
      <c r="D153" s="288">
        <f t="shared" si="22"/>
        <v>2166473.44</v>
      </c>
      <c r="E153" s="289">
        <f>SUM(E154:E154)</f>
        <v>1593657.862464</v>
      </c>
      <c r="F153" s="289">
        <f>SUM(F154:F154)</f>
        <v>108323.67200000001</v>
      </c>
      <c r="G153" s="247">
        <f>SUM(G154:G154)</f>
        <v>464491.90553599992</v>
      </c>
      <c r="H153" s="288">
        <f>I153+J153+K153</f>
        <v>2166473.44</v>
      </c>
      <c r="I153" s="289">
        <f>SUM(I154:I154)</f>
        <v>1593657.86</v>
      </c>
      <c r="J153" s="289">
        <f>SUM(J154:J154)</f>
        <v>108323.67</v>
      </c>
      <c r="K153" s="291">
        <f>SUM(K154:K154)</f>
        <v>464491.91</v>
      </c>
      <c r="L153" s="290"/>
      <c r="M153" s="706"/>
    </row>
    <row r="154" spans="1:13" ht="15" customHeight="1" outlineLevel="1" x14ac:dyDescent="0.25">
      <c r="A154" s="246"/>
      <c r="B154" s="248" t="s">
        <v>555</v>
      </c>
      <c r="C154" s="252">
        <f>1948542.22+38359.2+179572.02</f>
        <v>2166473.44</v>
      </c>
      <c r="D154" s="249">
        <f t="shared" si="22"/>
        <v>2166473.44</v>
      </c>
      <c r="E154" s="250">
        <f>C154*0.7356</f>
        <v>1593657.862464</v>
      </c>
      <c r="F154" s="250">
        <f>C154*0.05</f>
        <v>108323.67200000001</v>
      </c>
      <c r="G154" s="251">
        <f>C154-E154-F154</f>
        <v>464491.90553599992</v>
      </c>
      <c r="H154" s="249">
        <f>I154+J154+K154</f>
        <v>2166473.44</v>
      </c>
      <c r="I154" s="250">
        <v>1593657.86</v>
      </c>
      <c r="J154" s="250">
        <v>108323.67</v>
      </c>
      <c r="K154" s="253">
        <v>464491.91</v>
      </c>
      <c r="L154" s="252" t="s">
        <v>635</v>
      </c>
    </row>
    <row r="155" spans="1:13" s="73" customFormat="1" ht="32.25" customHeight="1" x14ac:dyDescent="0.25">
      <c r="A155" s="88">
        <v>43</v>
      </c>
      <c r="B155" s="80" t="s">
        <v>7</v>
      </c>
      <c r="C155" s="63">
        <f>SUM(C156:C161)</f>
        <v>10073966.530000001</v>
      </c>
      <c r="D155" s="40">
        <f t="shared" si="22"/>
        <v>10073966.529999999</v>
      </c>
      <c r="E155" s="75">
        <f>SUM(E156:E161)</f>
        <v>8116626.6895872997</v>
      </c>
      <c r="F155" s="75">
        <f>SUM(F156:F161)</f>
        <v>503698.32650000002</v>
      </c>
      <c r="G155" s="80">
        <f>SUM(G156:G161)</f>
        <v>1453641.5139127001</v>
      </c>
      <c r="H155" s="40">
        <f t="shared" ref="H155:H160" si="25">I155+J155+K155</f>
        <v>4162320.14</v>
      </c>
      <c r="I155" s="75">
        <f>SUM(I156:I161)</f>
        <v>3034561.64</v>
      </c>
      <c r="J155" s="75">
        <f>SUM(J156:J161)</f>
        <v>208116</v>
      </c>
      <c r="K155" s="181">
        <f>SUM(K156:K161)</f>
        <v>919642.5</v>
      </c>
      <c r="L155" s="63"/>
      <c r="M155" s="706"/>
    </row>
    <row r="156" spans="1:13" s="254" customFormat="1" ht="15" customHeight="1" outlineLevel="1" x14ac:dyDescent="0.25">
      <c r="A156" s="246"/>
      <c r="B156" s="248" t="s">
        <v>64</v>
      </c>
      <c r="C156" s="252">
        <v>5106515.8899999997</v>
      </c>
      <c r="D156" s="249">
        <f t="shared" si="22"/>
        <v>5106515.8899999997</v>
      </c>
      <c r="E156" s="250">
        <f>C156*0.85967</f>
        <v>4389918.5151562998</v>
      </c>
      <c r="F156" s="250">
        <f>C156*0.05</f>
        <v>255325.79449999999</v>
      </c>
      <c r="G156" s="251">
        <f t="shared" ref="G156" si="26">C156-E156-F156</f>
        <v>461271.5803436999</v>
      </c>
      <c r="H156" s="249">
        <f t="shared" si="25"/>
        <v>0</v>
      </c>
      <c r="I156" s="250"/>
      <c r="J156" s="250"/>
      <c r="K156" s="253"/>
      <c r="L156" s="790" t="s">
        <v>730</v>
      </c>
      <c r="M156" s="620"/>
    </row>
    <row r="157" spans="1:13" s="254" customFormat="1" ht="15" customHeight="1" outlineLevel="1" x14ac:dyDescent="0.25">
      <c r="A157" s="246"/>
      <c r="B157" s="248" t="s">
        <v>65</v>
      </c>
      <c r="C157" s="252">
        <v>805130.5</v>
      </c>
      <c r="D157" s="249">
        <f t="shared" si="22"/>
        <v>805130.5</v>
      </c>
      <c r="E157" s="250">
        <f>C157*0.85967</f>
        <v>692146.53693499998</v>
      </c>
      <c r="F157" s="250">
        <f>C157*0.05</f>
        <v>40256.525000000001</v>
      </c>
      <c r="G157" s="251">
        <f t="shared" ref="G157" si="27">C157-E157-F157</f>
        <v>72727.438065000024</v>
      </c>
      <c r="H157" s="249">
        <f t="shared" si="25"/>
        <v>0</v>
      </c>
      <c r="I157" s="250"/>
      <c r="J157" s="250"/>
      <c r="K157" s="253"/>
      <c r="L157" s="791"/>
      <c r="M157" s="620"/>
    </row>
    <row r="158" spans="1:13" s="254" customFormat="1" outlineLevel="1" x14ac:dyDescent="0.25">
      <c r="A158" s="246"/>
      <c r="B158" s="248" t="s">
        <v>555</v>
      </c>
      <c r="C158" s="252">
        <v>3826488.66</v>
      </c>
      <c r="D158" s="249">
        <f t="shared" si="22"/>
        <v>3826488.66</v>
      </c>
      <c r="E158" s="250">
        <f>C158*73.48%</f>
        <v>2811703.8673680001</v>
      </c>
      <c r="F158" s="250">
        <f>C158*5%</f>
        <v>191324.43300000002</v>
      </c>
      <c r="G158" s="251">
        <f>C158-E158-F158</f>
        <v>823460.35963200009</v>
      </c>
      <c r="H158" s="249">
        <f t="shared" si="25"/>
        <v>3826488.66</v>
      </c>
      <c r="I158" s="250">
        <v>2811703.87</v>
      </c>
      <c r="J158" s="250">
        <v>191324.43</v>
      </c>
      <c r="K158" s="253">
        <v>823460.36</v>
      </c>
      <c r="L158" s="252" t="s">
        <v>618</v>
      </c>
      <c r="M158" s="620"/>
    </row>
    <row r="159" spans="1:13" ht="15" customHeight="1" outlineLevel="1" x14ac:dyDescent="0.25">
      <c r="A159" s="89"/>
      <c r="B159" s="16" t="s">
        <v>557</v>
      </c>
      <c r="C159" s="47"/>
      <c r="D159" s="42">
        <f t="shared" si="22"/>
        <v>0</v>
      </c>
      <c r="E159" s="72"/>
      <c r="F159" s="72"/>
      <c r="G159" s="92"/>
      <c r="H159" s="42">
        <f t="shared" si="25"/>
        <v>0</v>
      </c>
      <c r="I159" s="72"/>
      <c r="J159" s="72"/>
      <c r="K159" s="182"/>
      <c r="L159" s="47"/>
    </row>
    <row r="160" spans="1:13" ht="15" customHeight="1" outlineLevel="1" x14ac:dyDescent="0.25">
      <c r="A160" s="89"/>
      <c r="B160" s="16" t="s">
        <v>554</v>
      </c>
      <c r="C160" s="47"/>
      <c r="D160" s="42">
        <f t="shared" si="22"/>
        <v>0</v>
      </c>
      <c r="E160" s="72"/>
      <c r="F160" s="72"/>
      <c r="G160" s="92"/>
      <c r="H160" s="42">
        <f t="shared" si="25"/>
        <v>0</v>
      </c>
      <c r="I160" s="72"/>
      <c r="J160" s="72"/>
      <c r="K160" s="182"/>
      <c r="L160" s="47"/>
    </row>
    <row r="161" spans="1:13" s="254" customFormat="1" ht="15" customHeight="1" outlineLevel="1" x14ac:dyDescent="0.25">
      <c r="A161" s="246"/>
      <c r="B161" s="248" t="s">
        <v>67</v>
      </c>
      <c r="C161" s="252">
        <v>335831.48</v>
      </c>
      <c r="D161" s="249">
        <f t="shared" si="22"/>
        <v>335831.48</v>
      </c>
      <c r="E161" s="250">
        <f>C161*0.6636</f>
        <v>222857.77012799997</v>
      </c>
      <c r="F161" s="250">
        <f>C161*5%</f>
        <v>16791.574000000001</v>
      </c>
      <c r="G161" s="251">
        <f>C161-E161-F161</f>
        <v>96182.135872000013</v>
      </c>
      <c r="H161" s="249">
        <f t="shared" ref="H161:H171" si="28">I161+J161+K161</f>
        <v>335831.48</v>
      </c>
      <c r="I161" s="250">
        <v>222857.77</v>
      </c>
      <c r="J161" s="250">
        <v>16791.57</v>
      </c>
      <c r="K161" s="253">
        <v>96182.14</v>
      </c>
      <c r="L161" s="252" t="s">
        <v>622</v>
      </c>
      <c r="M161" s="620"/>
    </row>
    <row r="162" spans="1:13" s="73" customFormat="1" ht="27.75" customHeight="1" x14ac:dyDescent="0.25">
      <c r="A162" s="88">
        <v>44</v>
      </c>
      <c r="B162" s="80" t="s">
        <v>154</v>
      </c>
      <c r="C162" s="63">
        <f>SUM(C163:C167)</f>
        <v>4640863.59</v>
      </c>
      <c r="D162" s="40">
        <f t="shared" si="22"/>
        <v>4640863.59</v>
      </c>
      <c r="E162" s="75">
        <f>SUM(E163:E167)</f>
        <v>3582594.334888</v>
      </c>
      <c r="F162" s="75">
        <f>SUM(F163:F167)</f>
        <v>227110.40700000001</v>
      </c>
      <c r="G162" s="80">
        <f>SUM(G163:G167)</f>
        <v>831158.84811199969</v>
      </c>
      <c r="H162" s="40">
        <f t="shared" si="28"/>
        <v>3863280.3400000008</v>
      </c>
      <c r="I162" s="75">
        <f>SUM(I163:I167)</f>
        <v>2841829.0200000005</v>
      </c>
      <c r="J162" s="75">
        <f>SUM(J163:J167)</f>
        <v>193164.02000000002</v>
      </c>
      <c r="K162" s="181">
        <f>SUM(K163:K167)</f>
        <v>828287.3</v>
      </c>
      <c r="L162" s="63"/>
      <c r="M162" s="706"/>
    </row>
    <row r="163" spans="1:13" s="254" customFormat="1" ht="15" customHeight="1" outlineLevel="1" x14ac:dyDescent="0.25">
      <c r="A163" s="246"/>
      <c r="B163" s="248" t="s">
        <v>66</v>
      </c>
      <c r="C163" s="252">
        <v>777583.25</v>
      </c>
      <c r="D163" s="249">
        <f t="shared" si="22"/>
        <v>777583.25</v>
      </c>
      <c r="E163" s="250">
        <v>743636.86</v>
      </c>
      <c r="F163" s="250">
        <v>33946.39</v>
      </c>
      <c r="G163" s="251"/>
      <c r="H163" s="249">
        <f t="shared" si="28"/>
        <v>0</v>
      </c>
      <c r="I163" s="250"/>
      <c r="J163" s="250"/>
      <c r="K163" s="253"/>
      <c r="L163" s="252" t="s">
        <v>854</v>
      </c>
      <c r="M163" s="620">
        <v>42655</v>
      </c>
    </row>
    <row r="164" spans="1:13" s="254" customFormat="1" outlineLevel="1" x14ac:dyDescent="0.25">
      <c r="A164" s="246"/>
      <c r="B164" s="248" t="s">
        <v>555</v>
      </c>
      <c r="C164" s="252">
        <v>3589429.02</v>
      </c>
      <c r="D164" s="249">
        <f t="shared" si="22"/>
        <v>3589429.02</v>
      </c>
      <c r="E164" s="250">
        <f>C164*73.48%</f>
        <v>2637512.4438960003</v>
      </c>
      <c r="F164" s="250">
        <f>C164*5%</f>
        <v>179471.451</v>
      </c>
      <c r="G164" s="251">
        <f>C164-E164-F164</f>
        <v>772445.12510399974</v>
      </c>
      <c r="H164" s="249">
        <f t="shared" si="28"/>
        <v>3589429.0200000005</v>
      </c>
      <c r="I164" s="250">
        <f>2599625.22+37887.22</f>
        <v>2637512.4400000004</v>
      </c>
      <c r="J164" s="250">
        <f>176893.39+2578.06</f>
        <v>179471.45</v>
      </c>
      <c r="K164" s="253">
        <f>761349.14+11095.99</f>
        <v>772445.13</v>
      </c>
      <c r="L164" s="252" t="s">
        <v>618</v>
      </c>
      <c r="M164" s="620"/>
    </row>
    <row r="165" spans="1:13" ht="15" customHeight="1" outlineLevel="1" x14ac:dyDescent="0.25">
      <c r="A165" s="89"/>
      <c r="B165" s="16" t="s">
        <v>557</v>
      </c>
      <c r="C165" s="47"/>
      <c r="D165" s="42">
        <f t="shared" si="22"/>
        <v>0</v>
      </c>
      <c r="E165" s="72"/>
      <c r="F165" s="72"/>
      <c r="G165" s="92"/>
      <c r="H165" s="42">
        <f t="shared" si="28"/>
        <v>0</v>
      </c>
      <c r="I165" s="72"/>
      <c r="J165" s="72"/>
      <c r="K165" s="182"/>
      <c r="L165" s="47"/>
    </row>
    <row r="166" spans="1:13" ht="15" customHeight="1" outlineLevel="1" x14ac:dyDescent="0.25">
      <c r="A166" s="89"/>
      <c r="B166" s="16" t="s">
        <v>554</v>
      </c>
      <c r="C166" s="47"/>
      <c r="D166" s="42">
        <f t="shared" si="22"/>
        <v>0</v>
      </c>
      <c r="E166" s="72"/>
      <c r="F166" s="72"/>
      <c r="G166" s="92"/>
      <c r="H166" s="42">
        <f t="shared" si="28"/>
        <v>0</v>
      </c>
      <c r="I166" s="72"/>
      <c r="J166" s="72"/>
      <c r="K166" s="182"/>
      <c r="L166" s="47"/>
    </row>
    <row r="167" spans="1:13" s="254" customFormat="1" ht="15" customHeight="1" outlineLevel="1" x14ac:dyDescent="0.25">
      <c r="A167" s="246"/>
      <c r="B167" s="248" t="s">
        <v>67</v>
      </c>
      <c r="C167" s="252">
        <f>188455.78+85395.54</f>
        <v>273851.32</v>
      </c>
      <c r="D167" s="249">
        <f t="shared" si="22"/>
        <v>273851.32</v>
      </c>
      <c r="E167" s="250">
        <f>C167*0.7356</f>
        <v>201445.03099200001</v>
      </c>
      <c r="F167" s="250">
        <f>C167*5%</f>
        <v>13692.566000000001</v>
      </c>
      <c r="G167" s="251">
        <f>C167-E167-F167</f>
        <v>58713.723007999994</v>
      </c>
      <c r="H167" s="249">
        <f t="shared" si="28"/>
        <v>273851.32</v>
      </c>
      <c r="I167" s="250">
        <f>125059.26+79257.32</f>
        <v>204316.58000000002</v>
      </c>
      <c r="J167" s="250">
        <f>9422.79+4269.78</f>
        <v>13692.57</v>
      </c>
      <c r="K167" s="253">
        <f>53973.73+1868.44</f>
        <v>55842.170000000006</v>
      </c>
      <c r="L167" s="252" t="s">
        <v>646</v>
      </c>
      <c r="M167" s="620"/>
    </row>
    <row r="168" spans="1:13" s="73" customFormat="1" ht="30" customHeight="1" x14ac:dyDescent="0.25">
      <c r="A168" s="88">
        <v>45</v>
      </c>
      <c r="B168" s="80" t="s">
        <v>155</v>
      </c>
      <c r="C168" s="63">
        <f>SUM(C169:C171)</f>
        <v>100192.34</v>
      </c>
      <c r="D168" s="40">
        <f t="shared" si="22"/>
        <v>100192.34</v>
      </c>
      <c r="E168" s="75">
        <f>SUM(E169:E171)</f>
        <v>66487.636824000001</v>
      </c>
      <c r="F168" s="75">
        <f>SUM(F169:F171)</f>
        <v>5009.6170000000002</v>
      </c>
      <c r="G168" s="80">
        <f>SUM(G169:G171)</f>
        <v>28695.086175999997</v>
      </c>
      <c r="H168" s="40">
        <f t="shared" si="28"/>
        <v>100192.34</v>
      </c>
      <c r="I168" s="75">
        <f>SUM(I169:I171)</f>
        <v>66487.63</v>
      </c>
      <c r="J168" s="75">
        <f>SUM(J169:J171)</f>
        <v>5009.62</v>
      </c>
      <c r="K168" s="181">
        <f>SUM(K169:K171)</f>
        <v>28695.09</v>
      </c>
      <c r="L168" s="63"/>
      <c r="M168" s="706"/>
    </row>
    <row r="169" spans="1:13" ht="15" customHeight="1" outlineLevel="1" x14ac:dyDescent="0.25">
      <c r="A169" s="89"/>
      <c r="B169" s="16" t="s">
        <v>557</v>
      </c>
      <c r="C169" s="47"/>
      <c r="D169" s="42">
        <f t="shared" si="22"/>
        <v>0</v>
      </c>
      <c r="E169" s="72"/>
      <c r="F169" s="72"/>
      <c r="G169" s="92"/>
      <c r="H169" s="42">
        <f t="shared" si="28"/>
        <v>0</v>
      </c>
      <c r="I169" s="72"/>
      <c r="J169" s="72"/>
      <c r="K169" s="182"/>
      <c r="L169" s="47"/>
    </row>
    <row r="170" spans="1:13" ht="15" customHeight="1" outlineLevel="1" x14ac:dyDescent="0.25">
      <c r="A170" s="89"/>
      <c r="B170" s="16" t="s">
        <v>554</v>
      </c>
      <c r="C170" s="47"/>
      <c r="D170" s="42">
        <f t="shared" si="22"/>
        <v>0</v>
      </c>
      <c r="E170" s="72"/>
      <c r="F170" s="72"/>
      <c r="G170" s="92"/>
      <c r="H170" s="42">
        <f t="shared" si="28"/>
        <v>0</v>
      </c>
      <c r="I170" s="72"/>
      <c r="J170" s="72"/>
      <c r="K170" s="182"/>
      <c r="L170" s="47"/>
    </row>
    <row r="171" spans="1:13" s="254" customFormat="1" ht="15" customHeight="1" outlineLevel="1" x14ac:dyDescent="0.25">
      <c r="A171" s="246"/>
      <c r="B171" s="248" t="s">
        <v>67</v>
      </c>
      <c r="C171" s="252">
        <v>100192.34</v>
      </c>
      <c r="D171" s="249">
        <f t="shared" si="22"/>
        <v>100192.34</v>
      </c>
      <c r="E171" s="250">
        <f>C171*0.6636</f>
        <v>66487.636824000001</v>
      </c>
      <c r="F171" s="250">
        <f>C171*5%</f>
        <v>5009.6170000000002</v>
      </c>
      <c r="G171" s="251">
        <f>C171-E171-F171</f>
        <v>28695.086175999997</v>
      </c>
      <c r="H171" s="249">
        <f t="shared" si="28"/>
        <v>100192.34</v>
      </c>
      <c r="I171" s="250">
        <v>66487.63</v>
      </c>
      <c r="J171" s="250">
        <v>5009.62</v>
      </c>
      <c r="K171" s="253">
        <v>28695.09</v>
      </c>
      <c r="L171" s="252" t="s">
        <v>622</v>
      </c>
      <c r="M171" s="620"/>
    </row>
    <row r="172" spans="1:13" s="73" customFormat="1" ht="34.5" customHeight="1" x14ac:dyDescent="0.25">
      <c r="A172" s="88">
        <v>46</v>
      </c>
      <c r="B172" s="80" t="s">
        <v>156</v>
      </c>
      <c r="C172" s="63">
        <f>SUM(C173:C176)</f>
        <v>5613448.9299999997</v>
      </c>
      <c r="D172" s="40">
        <f t="shared" si="22"/>
        <v>5613448.9299999997</v>
      </c>
      <c r="E172" s="75">
        <f>SUM(E173:E176)</f>
        <v>4109883.6190199996</v>
      </c>
      <c r="F172" s="75">
        <f>SUM(F173:F176)</f>
        <v>280672.44649999996</v>
      </c>
      <c r="G172" s="80">
        <f>SUM(G173:G176)</f>
        <v>1222892.8644799998</v>
      </c>
      <c r="H172" s="40">
        <f t="shared" ref="H172:H182" si="29">I172+J172+K172</f>
        <v>5613448.9299999997</v>
      </c>
      <c r="I172" s="75">
        <f>SUM(I173:I176)</f>
        <v>4109883.6300000004</v>
      </c>
      <c r="J172" s="75">
        <f>SUM(J173:J176)</f>
        <v>280672.44</v>
      </c>
      <c r="K172" s="181">
        <f>SUM(K173:K176)</f>
        <v>1222892.8599999999</v>
      </c>
      <c r="L172" s="63"/>
      <c r="M172" s="706"/>
    </row>
    <row r="173" spans="1:13" s="254" customFormat="1" outlineLevel="1" x14ac:dyDescent="0.25">
      <c r="A173" s="246"/>
      <c r="B173" s="248" t="s">
        <v>555</v>
      </c>
      <c r="C173" s="252">
        <v>5404479.0599999996</v>
      </c>
      <c r="D173" s="249">
        <f t="shared" si="22"/>
        <v>5404479.0599999996</v>
      </c>
      <c r="E173" s="250">
        <f>C173*73.48%</f>
        <v>3971211.2132879999</v>
      </c>
      <c r="F173" s="250">
        <f>C173*5%</f>
        <v>270223.95299999998</v>
      </c>
      <c r="G173" s="251">
        <f>C173-E173-F173</f>
        <v>1163043.8937119998</v>
      </c>
      <c r="H173" s="249">
        <f t="shared" si="29"/>
        <v>5404479.0599999996</v>
      </c>
      <c r="I173" s="250">
        <f>2710824.16+1260387.06</f>
        <v>3971211.22</v>
      </c>
      <c r="J173" s="250">
        <f>184460+85763.95</f>
        <v>270223.95</v>
      </c>
      <c r="K173" s="253">
        <f>793915.84+369128.05</f>
        <v>1163043.8899999999</v>
      </c>
      <c r="L173" s="252" t="s">
        <v>617</v>
      </c>
      <c r="M173" s="620"/>
    </row>
    <row r="174" spans="1:13" ht="15" customHeight="1" outlineLevel="1" x14ac:dyDescent="0.25">
      <c r="A174" s="89"/>
      <c r="B174" s="16" t="s">
        <v>557</v>
      </c>
      <c r="C174" s="47"/>
      <c r="D174" s="42">
        <f t="shared" si="22"/>
        <v>0</v>
      </c>
      <c r="E174" s="72"/>
      <c r="F174" s="72"/>
      <c r="G174" s="92"/>
      <c r="H174" s="42">
        <f t="shared" si="29"/>
        <v>0</v>
      </c>
      <c r="I174" s="72"/>
      <c r="J174" s="72"/>
      <c r="K174" s="182"/>
      <c r="L174" s="47"/>
    </row>
    <row r="175" spans="1:13" ht="15" customHeight="1" outlineLevel="1" x14ac:dyDescent="0.25">
      <c r="A175" s="89"/>
      <c r="B175" s="16" t="s">
        <v>554</v>
      </c>
      <c r="C175" s="47"/>
      <c r="D175" s="42">
        <f t="shared" si="22"/>
        <v>0</v>
      </c>
      <c r="E175" s="72"/>
      <c r="F175" s="72"/>
      <c r="G175" s="92"/>
      <c r="H175" s="42">
        <f t="shared" si="29"/>
        <v>0</v>
      </c>
      <c r="I175" s="72"/>
      <c r="J175" s="72"/>
      <c r="K175" s="182"/>
      <c r="L175" s="47"/>
    </row>
    <row r="176" spans="1:13" s="254" customFormat="1" ht="15" customHeight="1" outlineLevel="1" x14ac:dyDescent="0.25">
      <c r="A176" s="246"/>
      <c r="B176" s="248" t="s">
        <v>67</v>
      </c>
      <c r="C176" s="252">
        <v>208969.87</v>
      </c>
      <c r="D176" s="249">
        <f t="shared" si="22"/>
        <v>208969.87</v>
      </c>
      <c r="E176" s="250">
        <f>C176*0.6636</f>
        <v>138672.40573199998</v>
      </c>
      <c r="F176" s="250">
        <f>C176*5%</f>
        <v>10448.4935</v>
      </c>
      <c r="G176" s="251">
        <f>C176-E176-F176</f>
        <v>59848.970768000014</v>
      </c>
      <c r="H176" s="249">
        <f t="shared" si="29"/>
        <v>208969.87</v>
      </c>
      <c r="I176" s="250">
        <v>138672.41</v>
      </c>
      <c r="J176" s="250">
        <v>10448.49</v>
      </c>
      <c r="K176" s="253">
        <v>59848.97</v>
      </c>
      <c r="L176" s="252" t="s">
        <v>622</v>
      </c>
      <c r="M176" s="620"/>
    </row>
    <row r="177" spans="1:13" s="292" customFormat="1" ht="33" customHeight="1" x14ac:dyDescent="0.25">
      <c r="A177" s="286">
        <v>47</v>
      </c>
      <c r="B177" s="247" t="s">
        <v>177</v>
      </c>
      <c r="C177" s="290">
        <f>SUM(C178:C179)</f>
        <v>2277865.9500000002</v>
      </c>
      <c r="D177" s="288">
        <f t="shared" si="22"/>
        <v>2277865.9500000002</v>
      </c>
      <c r="E177" s="289">
        <f>SUM(E178:E179)</f>
        <v>1675598.1928200002</v>
      </c>
      <c r="F177" s="289">
        <f>SUM(F178:F179)</f>
        <v>113893.29750000002</v>
      </c>
      <c r="G177" s="247">
        <f>SUM(G178:G179)</f>
        <v>488374.45967999985</v>
      </c>
      <c r="H177" s="288">
        <f t="shared" si="29"/>
        <v>2277865.9500000002</v>
      </c>
      <c r="I177" s="289">
        <f>SUM(I178:I179)</f>
        <v>1675598.19</v>
      </c>
      <c r="J177" s="289">
        <f>SUM(J178:J179)</f>
        <v>113893.3</v>
      </c>
      <c r="K177" s="291">
        <f>SUM(K178:K179)</f>
        <v>488374.45999999996</v>
      </c>
      <c r="L177" s="290"/>
      <c r="M177" s="675"/>
    </row>
    <row r="178" spans="1:13" s="254" customFormat="1" ht="15" customHeight="1" outlineLevel="1" x14ac:dyDescent="0.25">
      <c r="A178" s="246"/>
      <c r="B178" s="248" t="s">
        <v>555</v>
      </c>
      <c r="C178" s="252">
        <v>2200582.04</v>
      </c>
      <c r="D178" s="249">
        <f t="shared" si="22"/>
        <v>2200582.04</v>
      </c>
      <c r="E178" s="250">
        <f>C178*0.7356</f>
        <v>1618748.1486240001</v>
      </c>
      <c r="F178" s="250">
        <f>C178*0.05</f>
        <v>110029.10200000001</v>
      </c>
      <c r="G178" s="251">
        <f>C178-E178-F178</f>
        <v>471804.78937599988</v>
      </c>
      <c r="H178" s="249">
        <f t="shared" si="29"/>
        <v>2200582.04</v>
      </c>
      <c r="I178" s="250">
        <v>1618748.15</v>
      </c>
      <c r="J178" s="250">
        <v>110029.1</v>
      </c>
      <c r="K178" s="253">
        <v>471804.79</v>
      </c>
      <c r="L178" s="252" t="s">
        <v>705</v>
      </c>
      <c r="M178" s="620"/>
    </row>
    <row r="179" spans="1:13" s="254" customFormat="1" ht="15" customHeight="1" outlineLevel="1" x14ac:dyDescent="0.25">
      <c r="A179" s="246"/>
      <c r="B179" s="248" t="s">
        <v>67</v>
      </c>
      <c r="C179" s="252">
        <v>77283.91</v>
      </c>
      <c r="D179" s="249">
        <f t="shared" si="22"/>
        <v>77283.91</v>
      </c>
      <c r="E179" s="250">
        <f>C179*0.7356</f>
        <v>56850.044196000003</v>
      </c>
      <c r="F179" s="250">
        <f>C179*5%</f>
        <v>3864.1955000000003</v>
      </c>
      <c r="G179" s="251">
        <f>C179-E179-F179</f>
        <v>16569.670303999999</v>
      </c>
      <c r="H179" s="249">
        <f t="shared" si="29"/>
        <v>77283.91</v>
      </c>
      <c r="I179" s="250">
        <v>56850.04</v>
      </c>
      <c r="J179" s="250">
        <v>3864.2</v>
      </c>
      <c r="K179" s="253">
        <v>16569.669999999998</v>
      </c>
      <c r="L179" s="252" t="s">
        <v>647</v>
      </c>
      <c r="M179" s="620"/>
    </row>
    <row r="180" spans="1:13" s="73" customFormat="1" ht="27" customHeight="1" x14ac:dyDescent="0.25">
      <c r="A180" s="286">
        <v>48</v>
      </c>
      <c r="B180" s="247" t="s">
        <v>178</v>
      </c>
      <c r="C180" s="290">
        <f>SUM(C181:C182)</f>
        <v>2968404.74</v>
      </c>
      <c r="D180" s="288">
        <f t="shared" ref="D180:D202" si="30">E180+F180+G180</f>
        <v>2968404.74</v>
      </c>
      <c r="E180" s="289">
        <f>SUM(E181:E182)</f>
        <v>2183558.5267440001</v>
      </c>
      <c r="F180" s="289">
        <f>SUM(F181:F182)</f>
        <v>148420.23699999999</v>
      </c>
      <c r="G180" s="247">
        <f>SUM(G181:G182)</f>
        <v>636425.97625600011</v>
      </c>
      <c r="H180" s="288">
        <f t="shared" si="29"/>
        <v>2968404.7399999998</v>
      </c>
      <c r="I180" s="289">
        <f>SUM(I181:I182)</f>
        <v>2183558.52</v>
      </c>
      <c r="J180" s="289">
        <f>SUM(J181:J182)</f>
        <v>148420.24</v>
      </c>
      <c r="K180" s="291">
        <f>SUM(K181:K182)</f>
        <v>636425.98</v>
      </c>
      <c r="L180" s="290"/>
      <c r="M180" s="706"/>
    </row>
    <row r="181" spans="1:13" ht="15" customHeight="1" outlineLevel="1" x14ac:dyDescent="0.25">
      <c r="A181" s="246"/>
      <c r="B181" s="248" t="s">
        <v>555</v>
      </c>
      <c r="C181" s="252">
        <v>2891217.16</v>
      </c>
      <c r="D181" s="249">
        <f t="shared" si="30"/>
        <v>2891217.16</v>
      </c>
      <c r="E181" s="250">
        <f>C181*0.7356</f>
        <v>2126779.342896</v>
      </c>
      <c r="F181" s="250">
        <f>C181*5%</f>
        <v>144560.85800000001</v>
      </c>
      <c r="G181" s="251">
        <f>C181-E181-F181</f>
        <v>619876.95910400013</v>
      </c>
      <c r="H181" s="249">
        <f t="shared" si="29"/>
        <v>2891217.1599999997</v>
      </c>
      <c r="I181" s="250">
        <v>2126779.34</v>
      </c>
      <c r="J181" s="250">
        <v>144560.85999999999</v>
      </c>
      <c r="K181" s="253">
        <v>619876.96</v>
      </c>
      <c r="L181" s="252" t="s">
        <v>718</v>
      </c>
    </row>
    <row r="182" spans="1:13" s="254" customFormat="1" ht="15" customHeight="1" outlineLevel="1" x14ac:dyDescent="0.25">
      <c r="A182" s="246"/>
      <c r="B182" s="248" t="s">
        <v>67</v>
      </c>
      <c r="C182" s="252">
        <v>77187.58</v>
      </c>
      <c r="D182" s="249">
        <f t="shared" si="30"/>
        <v>77187.58</v>
      </c>
      <c r="E182" s="250">
        <f>C182*0.7356</f>
        <v>56779.183848000001</v>
      </c>
      <c r="F182" s="250">
        <f>C182*5%</f>
        <v>3859.3790000000004</v>
      </c>
      <c r="G182" s="251">
        <f>C182-E182-F182</f>
        <v>16549.017152</v>
      </c>
      <c r="H182" s="249">
        <f t="shared" si="29"/>
        <v>77187.58</v>
      </c>
      <c r="I182" s="250">
        <v>56779.18</v>
      </c>
      <c r="J182" s="250">
        <v>3859.38</v>
      </c>
      <c r="K182" s="253">
        <v>16549.02</v>
      </c>
      <c r="L182" s="252" t="s">
        <v>647</v>
      </c>
      <c r="M182" s="620"/>
    </row>
    <row r="183" spans="1:13" s="292" customFormat="1" ht="27.75" customHeight="1" x14ac:dyDescent="0.25">
      <c r="A183" s="286">
        <v>49</v>
      </c>
      <c r="B183" s="247" t="s">
        <v>179</v>
      </c>
      <c r="C183" s="290">
        <f>SUM(C184:C184)</f>
        <v>2936291.8</v>
      </c>
      <c r="D183" s="288">
        <f t="shared" si="30"/>
        <v>2936291.8</v>
      </c>
      <c r="E183" s="289">
        <f>SUM(E184:E184)</f>
        <v>2159936.25</v>
      </c>
      <c r="F183" s="289">
        <f>SUM(F184:F184)</f>
        <v>146814.59</v>
      </c>
      <c r="G183" s="247">
        <f>SUM(G184:G184)</f>
        <v>629540.95999999985</v>
      </c>
      <c r="H183" s="288">
        <f>I183+J183+K183</f>
        <v>2936291.8</v>
      </c>
      <c r="I183" s="289">
        <f>SUM(I184:I184)</f>
        <v>2159936.25</v>
      </c>
      <c r="J183" s="289">
        <f>SUM(J184:J184)</f>
        <v>146814.59</v>
      </c>
      <c r="K183" s="291">
        <f>SUM(K184:K184)</f>
        <v>629540.96</v>
      </c>
      <c r="L183" s="290"/>
      <c r="M183" s="675"/>
    </row>
    <row r="184" spans="1:13" s="254" customFormat="1" ht="15" customHeight="1" outlineLevel="1" x14ac:dyDescent="0.25">
      <c r="A184" s="246"/>
      <c r="B184" s="248" t="s">
        <v>555</v>
      </c>
      <c r="C184" s="252">
        <f>2630875.86+305415.94</f>
        <v>2936291.8</v>
      </c>
      <c r="D184" s="249">
        <f t="shared" si="30"/>
        <v>2936291.8</v>
      </c>
      <c r="E184" s="250">
        <f>ROUND(C184*0.7356,2)</f>
        <v>2159936.25</v>
      </c>
      <c r="F184" s="250">
        <f>ROUND(C184*0.05,2)</f>
        <v>146814.59</v>
      </c>
      <c r="G184" s="251">
        <f>C184-E184-F184</f>
        <v>629540.95999999985</v>
      </c>
      <c r="H184" s="249">
        <f>I184+J184+K184</f>
        <v>2936291.8</v>
      </c>
      <c r="I184" s="250">
        <v>2159936.25</v>
      </c>
      <c r="J184" s="250">
        <v>146814.59</v>
      </c>
      <c r="K184" s="253">
        <v>629540.96</v>
      </c>
      <c r="L184" s="252" t="s">
        <v>636</v>
      </c>
      <c r="M184" s="620"/>
    </row>
    <row r="185" spans="1:13" s="73" customFormat="1" ht="33" customHeight="1" x14ac:dyDescent="0.25">
      <c r="A185" s="88">
        <v>50</v>
      </c>
      <c r="B185" s="80" t="s">
        <v>157</v>
      </c>
      <c r="C185" s="63">
        <f>SUM(C186:C188)</f>
        <v>3707586.69</v>
      </c>
      <c r="D185" s="40">
        <f t="shared" si="30"/>
        <v>3707586.69</v>
      </c>
      <c r="E185" s="75">
        <f>SUM(E186:E188)</f>
        <v>2718643.546484</v>
      </c>
      <c r="F185" s="75">
        <f>SUM(F186:F188)</f>
        <v>185379.3395</v>
      </c>
      <c r="G185" s="80">
        <f>SUM(G186:G188)</f>
        <v>803563.80401600013</v>
      </c>
      <c r="H185" s="40">
        <f>I185+J185+K185</f>
        <v>3707586.69</v>
      </c>
      <c r="I185" s="75">
        <f>SUM(I186:I188)</f>
        <v>2718643.55</v>
      </c>
      <c r="J185" s="75">
        <f>SUM(J186:J188)</f>
        <v>185379.33</v>
      </c>
      <c r="K185" s="181">
        <f>SUM(K186:K188)</f>
        <v>803563.81</v>
      </c>
      <c r="L185" s="63"/>
      <c r="M185" s="706"/>
    </row>
    <row r="186" spans="1:13" s="254" customFormat="1" ht="15" customHeight="1" outlineLevel="1" x14ac:dyDescent="0.25">
      <c r="A186" s="246"/>
      <c r="B186" s="248" t="s">
        <v>555</v>
      </c>
      <c r="C186" s="252">
        <f>3300183.88+287163.62</f>
        <v>3587347.5</v>
      </c>
      <c r="D186" s="249">
        <f t="shared" si="30"/>
        <v>3587347.5</v>
      </c>
      <c r="E186" s="250">
        <f>ROUND(C186*0.7356,2)</f>
        <v>2638852.8199999998</v>
      </c>
      <c r="F186" s="250">
        <f>ROUND(C186*0.05,2)</f>
        <v>179367.38</v>
      </c>
      <c r="G186" s="251">
        <f>C186-E186-F186</f>
        <v>769127.30000000016</v>
      </c>
      <c r="H186" s="249">
        <f>I186+J186+K186</f>
        <v>3587347.5</v>
      </c>
      <c r="I186" s="250">
        <v>2638852.8199999998</v>
      </c>
      <c r="J186" s="250">
        <v>179367.37</v>
      </c>
      <c r="K186" s="253">
        <v>769127.31</v>
      </c>
      <c r="L186" s="252" t="s">
        <v>656</v>
      </c>
      <c r="M186" s="620"/>
    </row>
    <row r="187" spans="1:13" ht="15" customHeight="1" outlineLevel="1" x14ac:dyDescent="0.25">
      <c r="A187" s="89"/>
      <c r="B187" s="16" t="s">
        <v>557</v>
      </c>
      <c r="C187" s="47"/>
      <c r="D187" s="42">
        <f t="shared" si="30"/>
        <v>0</v>
      </c>
      <c r="E187" s="72"/>
      <c r="F187" s="72"/>
      <c r="G187" s="92"/>
      <c r="H187" s="42"/>
      <c r="I187" s="72"/>
      <c r="J187" s="72"/>
      <c r="K187" s="182"/>
      <c r="L187" s="47"/>
    </row>
    <row r="188" spans="1:13" s="254" customFormat="1" ht="15" customHeight="1" outlineLevel="1" x14ac:dyDescent="0.25">
      <c r="A188" s="246"/>
      <c r="B188" s="248" t="s">
        <v>67</v>
      </c>
      <c r="C188" s="252">
        <v>120239.19</v>
      </c>
      <c r="D188" s="249">
        <f t="shared" si="30"/>
        <v>120239.19</v>
      </c>
      <c r="E188" s="250">
        <f>C188*0.6636</f>
        <v>79790.726483999999</v>
      </c>
      <c r="F188" s="250">
        <f>C188*5%</f>
        <v>6011.9595000000008</v>
      </c>
      <c r="G188" s="251">
        <f>C188-E188-F188</f>
        <v>34436.504016000006</v>
      </c>
      <c r="H188" s="249">
        <f>I188+J188+K188</f>
        <v>120239.19</v>
      </c>
      <c r="I188" s="250">
        <v>79790.73</v>
      </c>
      <c r="J188" s="250">
        <v>6011.96</v>
      </c>
      <c r="K188" s="253">
        <v>34436.5</v>
      </c>
      <c r="L188" s="252" t="s">
        <v>622</v>
      </c>
      <c r="M188" s="620"/>
    </row>
    <row r="189" spans="1:13" s="292" customFormat="1" ht="36.75" customHeight="1" x14ac:dyDescent="0.25">
      <c r="A189" s="286">
        <v>51</v>
      </c>
      <c r="B189" s="247" t="s">
        <v>181</v>
      </c>
      <c r="C189" s="290">
        <f>SUM(C190:C191)</f>
        <v>4780001.8499999996</v>
      </c>
      <c r="D189" s="288">
        <f t="shared" si="30"/>
        <v>4780001.8499999996</v>
      </c>
      <c r="E189" s="289">
        <f>SUM(E190:E191)</f>
        <v>3516169.3608600004</v>
      </c>
      <c r="F189" s="289">
        <f>SUM(F190:F191)</f>
        <v>239000.0925</v>
      </c>
      <c r="G189" s="247">
        <f>SUM(G190:G191)</f>
        <v>1024832.3966399998</v>
      </c>
      <c r="H189" s="288">
        <f>I189+J189+K189</f>
        <v>4780001.8499999996</v>
      </c>
      <c r="I189" s="289">
        <f>SUM(I190:I191)</f>
        <v>3516169.36</v>
      </c>
      <c r="J189" s="289">
        <f>SUM(J190:J191)</f>
        <v>239000.09</v>
      </c>
      <c r="K189" s="291">
        <f>SUM(K190:K191)</f>
        <v>1024832.4</v>
      </c>
      <c r="L189" s="290"/>
      <c r="M189" s="675"/>
    </row>
    <row r="190" spans="1:13" s="254" customFormat="1" ht="15" customHeight="1" outlineLevel="1" x14ac:dyDescent="0.25">
      <c r="A190" s="246"/>
      <c r="B190" s="248" t="s">
        <v>555</v>
      </c>
      <c r="C190" s="252">
        <v>4679783.09</v>
      </c>
      <c r="D190" s="249">
        <f t="shared" ref="D190" si="31">E190+F190+G190</f>
        <v>4679783.09</v>
      </c>
      <c r="E190" s="250">
        <f>C190*0.7356</f>
        <v>3442448.4410040001</v>
      </c>
      <c r="F190" s="250">
        <f>C190*5%</f>
        <v>233989.1545</v>
      </c>
      <c r="G190" s="251">
        <f>C190-E190-F190</f>
        <v>1003345.4944959998</v>
      </c>
      <c r="H190" s="249">
        <f t="shared" ref="H190" si="32">I190+J190+K190</f>
        <v>4679783.09</v>
      </c>
      <c r="I190" s="250">
        <v>3442448.44</v>
      </c>
      <c r="J190" s="250">
        <v>233989.15</v>
      </c>
      <c r="K190" s="253">
        <v>1003345.5</v>
      </c>
      <c r="L190" s="252" t="s">
        <v>697</v>
      </c>
      <c r="M190" s="620"/>
    </row>
    <row r="191" spans="1:13" s="254" customFormat="1" ht="15" customHeight="1" outlineLevel="1" x14ac:dyDescent="0.25">
      <c r="A191" s="246"/>
      <c r="B191" s="248" t="s">
        <v>67</v>
      </c>
      <c r="C191" s="252">
        <v>100218.76</v>
      </c>
      <c r="D191" s="249">
        <f t="shared" si="30"/>
        <v>100218.75999999998</v>
      </c>
      <c r="E191" s="250">
        <f>C191*0.7356</f>
        <v>73720.919855999993</v>
      </c>
      <c r="F191" s="250">
        <f>C191*5%</f>
        <v>5010.9380000000001</v>
      </c>
      <c r="G191" s="251">
        <f>C191-E191-F191</f>
        <v>21486.902144</v>
      </c>
      <c r="H191" s="249">
        <f>I191+J191+K191</f>
        <v>100218.76000000001</v>
      </c>
      <c r="I191" s="250">
        <v>73720.92</v>
      </c>
      <c r="J191" s="250">
        <v>5010.9399999999996</v>
      </c>
      <c r="K191" s="253">
        <v>21486.9</v>
      </c>
      <c r="L191" s="252" t="s">
        <v>647</v>
      </c>
      <c r="M191" s="620"/>
    </row>
    <row r="192" spans="1:13" s="73" customFormat="1" ht="27" customHeight="1" x14ac:dyDescent="0.25">
      <c r="A192" s="88">
        <v>52</v>
      </c>
      <c r="B192" s="80" t="s">
        <v>158</v>
      </c>
      <c r="C192" s="63">
        <f>SUM(C193:C195)</f>
        <v>3548326.6700000004</v>
      </c>
      <c r="D192" s="40">
        <f t="shared" si="30"/>
        <v>3548326.6700000004</v>
      </c>
      <c r="E192" s="75">
        <f>SUM(E193:E195)</f>
        <v>2601622.7296600002</v>
      </c>
      <c r="F192" s="75">
        <f>SUM(F193:F195)</f>
        <v>177416.33249999999</v>
      </c>
      <c r="G192" s="80">
        <f>SUM(G193:G195)</f>
        <v>769287.60784000007</v>
      </c>
      <c r="H192" s="40">
        <f>I192+J192+K192</f>
        <v>3548326.6700000004</v>
      </c>
      <c r="I192" s="75">
        <f>SUM(I193:I195)</f>
        <v>2601622.7300000004</v>
      </c>
      <c r="J192" s="75">
        <f>SUM(J193:J195)</f>
        <v>177416.32000000001</v>
      </c>
      <c r="K192" s="181">
        <f>SUM(K193:K195)</f>
        <v>769287.62</v>
      </c>
      <c r="L192" s="63"/>
      <c r="M192" s="706"/>
    </row>
    <row r="193" spans="1:13" s="254" customFormat="1" ht="15" customHeight="1" outlineLevel="1" x14ac:dyDescent="0.25">
      <c r="A193" s="246"/>
      <c r="B193" s="248" t="s">
        <v>555</v>
      </c>
      <c r="C193" s="252">
        <f>3295396.62+134508.2</f>
        <v>3429904.8200000003</v>
      </c>
      <c r="D193" s="249">
        <f t="shared" si="30"/>
        <v>3429904.8200000003</v>
      </c>
      <c r="E193" s="250">
        <f>ROUND(C193*0.7356,2)</f>
        <v>2523037.9900000002</v>
      </c>
      <c r="F193" s="250">
        <f>ROUND(C193*0.05,2)</f>
        <v>171495.24</v>
      </c>
      <c r="G193" s="251">
        <f>C193-E193-F193</f>
        <v>735371.59000000008</v>
      </c>
      <c r="H193" s="249">
        <f>I193+J193+K193</f>
        <v>3429904.8200000003</v>
      </c>
      <c r="I193" s="250">
        <v>2523037.9900000002</v>
      </c>
      <c r="J193" s="250">
        <v>171495.23</v>
      </c>
      <c r="K193" s="253">
        <v>735371.6</v>
      </c>
      <c r="L193" s="252" t="s">
        <v>656</v>
      </c>
      <c r="M193" s="620"/>
    </row>
    <row r="194" spans="1:13" ht="15" customHeight="1" outlineLevel="1" x14ac:dyDescent="0.25">
      <c r="A194" s="89"/>
      <c r="B194" s="16" t="s">
        <v>557</v>
      </c>
      <c r="C194" s="47"/>
      <c r="D194" s="42">
        <f t="shared" si="30"/>
        <v>0</v>
      </c>
      <c r="E194" s="72"/>
      <c r="F194" s="72"/>
      <c r="G194" s="92"/>
      <c r="H194" s="42"/>
      <c r="I194" s="72"/>
      <c r="J194" s="72"/>
      <c r="K194" s="182"/>
      <c r="L194" s="47"/>
    </row>
    <row r="195" spans="1:13" s="254" customFormat="1" ht="15" customHeight="1" outlineLevel="1" x14ac:dyDescent="0.25">
      <c r="A195" s="246"/>
      <c r="B195" s="248" t="s">
        <v>67</v>
      </c>
      <c r="C195" s="252">
        <v>118421.85</v>
      </c>
      <c r="D195" s="249">
        <f t="shared" si="30"/>
        <v>118421.85</v>
      </c>
      <c r="E195" s="250">
        <f>C195*0.6636</f>
        <v>78584.739660000007</v>
      </c>
      <c r="F195" s="250">
        <f>C195*5%</f>
        <v>5921.0925000000007</v>
      </c>
      <c r="G195" s="251">
        <f>C195-E195-F195</f>
        <v>33916.01784</v>
      </c>
      <c r="H195" s="249">
        <f t="shared" ref="H195:H201" si="33">I195+J195+K195</f>
        <v>118421.85</v>
      </c>
      <c r="I195" s="250">
        <v>78584.740000000005</v>
      </c>
      <c r="J195" s="250">
        <v>5921.09</v>
      </c>
      <c r="K195" s="253">
        <v>33916.019999999997</v>
      </c>
      <c r="L195" s="252" t="s">
        <v>622</v>
      </c>
      <c r="M195" s="620"/>
    </row>
    <row r="196" spans="1:13" s="292" customFormat="1" ht="32.25" customHeight="1" x14ac:dyDescent="0.25">
      <c r="A196" s="286">
        <v>53</v>
      </c>
      <c r="B196" s="247" t="s">
        <v>563</v>
      </c>
      <c r="C196" s="290">
        <f>SUM(C197:C198)</f>
        <v>4062344.55</v>
      </c>
      <c r="D196" s="288">
        <f t="shared" si="30"/>
        <v>4062344.55</v>
      </c>
      <c r="E196" s="289">
        <f>SUM(E197:E198)</f>
        <v>2988260.6509800004</v>
      </c>
      <c r="F196" s="289">
        <f>SUM(F197:F198)</f>
        <v>203117.22750000004</v>
      </c>
      <c r="G196" s="247">
        <f>SUM(G197:G198)</f>
        <v>870966.67151999963</v>
      </c>
      <c r="H196" s="288">
        <f t="shared" si="33"/>
        <v>4062344.55</v>
      </c>
      <c r="I196" s="289">
        <f>SUM(I197:I198)</f>
        <v>2988260.65</v>
      </c>
      <c r="J196" s="289">
        <f>SUM(J197:J198)</f>
        <v>203117.22</v>
      </c>
      <c r="K196" s="291">
        <f>SUM(K197:K198)</f>
        <v>870966.67999999993</v>
      </c>
      <c r="L196" s="290"/>
      <c r="M196" s="675"/>
    </row>
    <row r="197" spans="1:13" s="254" customFormat="1" ht="15" customHeight="1" outlineLevel="1" x14ac:dyDescent="0.25">
      <c r="A197" s="246"/>
      <c r="B197" s="248" t="s">
        <v>555</v>
      </c>
      <c r="C197" s="252">
        <f>3741613.85+74757.36+163595.27</f>
        <v>3979966.48</v>
      </c>
      <c r="D197" s="249">
        <f t="shared" ref="D197" si="34">E197+F197+G197</f>
        <v>3979966.48</v>
      </c>
      <c r="E197" s="250">
        <f>C197*0.7356</f>
        <v>2927663.3426880003</v>
      </c>
      <c r="F197" s="250">
        <f>C197*5%</f>
        <v>198998.32400000002</v>
      </c>
      <c r="G197" s="251">
        <f>C197-E197-F197</f>
        <v>853304.81331199966</v>
      </c>
      <c r="H197" s="249">
        <f t="shared" si="33"/>
        <v>3979966.4799999995</v>
      </c>
      <c r="I197" s="250">
        <v>2927663.34</v>
      </c>
      <c r="J197" s="250">
        <v>198998.32</v>
      </c>
      <c r="K197" s="253">
        <v>853304.82</v>
      </c>
      <c r="L197" s="252" t="s">
        <v>704</v>
      </c>
      <c r="M197" s="620"/>
    </row>
    <row r="198" spans="1:13" s="254" customFormat="1" ht="15" customHeight="1" outlineLevel="1" x14ac:dyDescent="0.25">
      <c r="A198" s="246"/>
      <c r="B198" s="248" t="s">
        <v>67</v>
      </c>
      <c r="C198" s="252">
        <v>82378.070000000007</v>
      </c>
      <c r="D198" s="249">
        <f t="shared" si="30"/>
        <v>82378.070000000007</v>
      </c>
      <c r="E198" s="250">
        <f>C198*0.7356</f>
        <v>60597.308292000009</v>
      </c>
      <c r="F198" s="250">
        <f>C198*5%</f>
        <v>4118.9035000000003</v>
      </c>
      <c r="G198" s="251">
        <f>C198-E198-F198</f>
        <v>17661.858207999998</v>
      </c>
      <c r="H198" s="249">
        <f t="shared" si="33"/>
        <v>82378.070000000007</v>
      </c>
      <c r="I198" s="250">
        <v>60597.31</v>
      </c>
      <c r="J198" s="250">
        <v>4118.8999999999996</v>
      </c>
      <c r="K198" s="253">
        <v>17661.86</v>
      </c>
      <c r="L198" s="252" t="s">
        <v>647</v>
      </c>
      <c r="M198" s="620"/>
    </row>
    <row r="199" spans="1:13" s="292" customFormat="1" ht="34.5" customHeight="1" x14ac:dyDescent="0.25">
      <c r="A199" s="286">
        <v>54</v>
      </c>
      <c r="B199" s="247" t="s">
        <v>182</v>
      </c>
      <c r="C199" s="290">
        <f>SUM(C200:C201)</f>
        <v>3609811.93</v>
      </c>
      <c r="D199" s="288">
        <f t="shared" si="30"/>
        <v>3609811.93</v>
      </c>
      <c r="E199" s="289">
        <f>SUM(E200:E201)</f>
        <v>2655377.6557080001</v>
      </c>
      <c r="F199" s="289">
        <f>SUM(F200:F201)</f>
        <v>180490.59650000001</v>
      </c>
      <c r="G199" s="247">
        <f>SUM(G200:G201)</f>
        <v>773943.67779200012</v>
      </c>
      <c r="H199" s="288">
        <f t="shared" si="33"/>
        <v>3609811.9299999997</v>
      </c>
      <c r="I199" s="289">
        <f>SUM(I200:I201)</f>
        <v>2655377.6599999997</v>
      </c>
      <c r="J199" s="289">
        <f>SUM(J200:J201)</f>
        <v>180490.6</v>
      </c>
      <c r="K199" s="291">
        <f>SUM(K200:K201)</f>
        <v>773943.67</v>
      </c>
      <c r="L199" s="290"/>
      <c r="M199" s="675"/>
    </row>
    <row r="200" spans="1:13" s="254" customFormat="1" ht="15" customHeight="1" outlineLevel="1" x14ac:dyDescent="0.25">
      <c r="A200" s="246"/>
      <c r="B200" s="248" t="s">
        <v>555</v>
      </c>
      <c r="C200" s="252">
        <f>3339364.7+66737.22+118818.28</f>
        <v>3524920.2</v>
      </c>
      <c r="D200" s="249">
        <f t="shared" ref="D200" si="35">E200+F200+G200</f>
        <v>3524920.2</v>
      </c>
      <c r="E200" s="250">
        <f>C200*0.7356</f>
        <v>2592931.2991200001</v>
      </c>
      <c r="F200" s="250">
        <f>C200*5%</f>
        <v>176246.01</v>
      </c>
      <c r="G200" s="251">
        <f>C200-E200-F200</f>
        <v>755742.89088000008</v>
      </c>
      <c r="H200" s="249">
        <f t="shared" si="33"/>
        <v>3524920.1999999997</v>
      </c>
      <c r="I200" s="250">
        <v>2592931.2999999998</v>
      </c>
      <c r="J200" s="250">
        <v>176246.01</v>
      </c>
      <c r="K200" s="253">
        <v>755742.89</v>
      </c>
      <c r="L200" s="252" t="s">
        <v>704</v>
      </c>
      <c r="M200" s="620"/>
    </row>
    <row r="201" spans="1:13" s="254" customFormat="1" ht="15" customHeight="1" outlineLevel="1" x14ac:dyDescent="0.25">
      <c r="A201" s="360"/>
      <c r="B201" s="248" t="s">
        <v>67</v>
      </c>
      <c r="C201" s="268">
        <v>84891.73</v>
      </c>
      <c r="D201" s="249">
        <f t="shared" si="30"/>
        <v>84891.73</v>
      </c>
      <c r="E201" s="250">
        <f>C201*0.7356</f>
        <v>62446.356588000002</v>
      </c>
      <c r="F201" s="250">
        <f>C201*5%</f>
        <v>4244.5865000000003</v>
      </c>
      <c r="G201" s="251">
        <f>C201-E201-F201</f>
        <v>18200.786911999992</v>
      </c>
      <c r="H201" s="317">
        <f t="shared" si="33"/>
        <v>84891.73</v>
      </c>
      <c r="I201" s="318">
        <v>62446.36</v>
      </c>
      <c r="J201" s="318">
        <v>4244.59</v>
      </c>
      <c r="K201" s="354">
        <v>18200.78</v>
      </c>
      <c r="L201" s="252" t="s">
        <v>647</v>
      </c>
      <c r="M201" s="620"/>
    </row>
    <row r="202" spans="1:13" s="73" customFormat="1" ht="30" customHeight="1" thickBot="1" x14ac:dyDescent="0.3">
      <c r="A202" s="180">
        <v>55</v>
      </c>
      <c r="B202" s="174" t="s">
        <v>556</v>
      </c>
      <c r="C202" s="175"/>
      <c r="D202" s="177">
        <f t="shared" si="30"/>
        <v>0</v>
      </c>
      <c r="E202" s="137"/>
      <c r="F202" s="137"/>
      <c r="G202" s="174"/>
      <c r="H202" s="177"/>
      <c r="I202" s="137"/>
      <c r="J202" s="137"/>
      <c r="K202" s="138"/>
      <c r="L202" s="175"/>
      <c r="M202" s="706"/>
    </row>
    <row r="204" spans="1:13" ht="15.75" thickBot="1" x14ac:dyDescent="0.3"/>
    <row r="205" spans="1:13" s="2" customFormat="1" x14ac:dyDescent="0.25">
      <c r="A205" s="25"/>
      <c r="B205" s="276" t="s">
        <v>68</v>
      </c>
      <c r="C205" s="279">
        <f t="shared" ref="C205:K205" si="36">C41</f>
        <v>382248</v>
      </c>
      <c r="D205" s="279">
        <f t="shared" si="36"/>
        <v>382248</v>
      </c>
      <c r="E205" s="279">
        <f t="shared" si="36"/>
        <v>281181.62880000001</v>
      </c>
      <c r="F205" s="279">
        <f t="shared" si="36"/>
        <v>19112.400000000001</v>
      </c>
      <c r="G205" s="279">
        <f t="shared" si="36"/>
        <v>81953.9712</v>
      </c>
      <c r="H205" s="279">
        <f t="shared" si="36"/>
        <v>382248</v>
      </c>
      <c r="I205" s="279">
        <f t="shared" si="36"/>
        <v>283986.81</v>
      </c>
      <c r="J205" s="279">
        <f t="shared" si="36"/>
        <v>19112.41</v>
      </c>
      <c r="K205" s="277">
        <f t="shared" si="36"/>
        <v>79148.78</v>
      </c>
      <c r="L205" s="2">
        <v>1</v>
      </c>
      <c r="M205" s="642"/>
    </row>
    <row r="206" spans="1:13" s="2" customFormat="1" x14ac:dyDescent="0.25">
      <c r="A206" s="25"/>
      <c r="B206" s="278" t="s">
        <v>64</v>
      </c>
      <c r="C206" s="294">
        <f t="shared" ref="C206:K206" si="37">C145+C156+C92</f>
        <v>16018116.09</v>
      </c>
      <c r="D206" s="294">
        <f t="shared" si="37"/>
        <v>16018116.09</v>
      </c>
      <c r="E206" s="294">
        <f t="shared" si="37"/>
        <v>13203961.424551498</v>
      </c>
      <c r="F206" s="294">
        <f t="shared" si="37"/>
        <v>804145.85250000004</v>
      </c>
      <c r="G206" s="294">
        <f t="shared" si="37"/>
        <v>2010008.8129484998</v>
      </c>
      <c r="H206" s="294">
        <f t="shared" si="37"/>
        <v>6325272.96</v>
      </c>
      <c r="I206" s="294">
        <f t="shared" si="37"/>
        <v>4821885.76</v>
      </c>
      <c r="J206" s="294">
        <f t="shared" si="37"/>
        <v>316263.65000000002</v>
      </c>
      <c r="K206" s="543">
        <f t="shared" si="37"/>
        <v>1187123.55</v>
      </c>
      <c r="L206" s="2">
        <v>2</v>
      </c>
      <c r="M206" s="642"/>
    </row>
    <row r="207" spans="1:13" s="2" customFormat="1" x14ac:dyDescent="0.25">
      <c r="A207" s="25"/>
      <c r="B207" s="278" t="s">
        <v>65</v>
      </c>
      <c r="C207" s="12">
        <f t="shared" ref="C207:K207" si="38">C8+C23+C42+C122+C157</f>
        <v>3866318.41</v>
      </c>
      <c r="D207" s="12">
        <f t="shared" si="38"/>
        <v>3866318.41</v>
      </c>
      <c r="E207" s="12">
        <f t="shared" si="38"/>
        <v>2943956.363531</v>
      </c>
      <c r="F207" s="12">
        <f t="shared" si="38"/>
        <v>193315.92050000001</v>
      </c>
      <c r="G207" s="12">
        <f t="shared" si="38"/>
        <v>729046.12596899981</v>
      </c>
      <c r="H207" s="12">
        <f t="shared" si="38"/>
        <v>3061187.91</v>
      </c>
      <c r="I207" s="12">
        <f t="shared" si="38"/>
        <v>2257818.94</v>
      </c>
      <c r="J207" s="12">
        <f t="shared" si="38"/>
        <v>153059.38999999998</v>
      </c>
      <c r="K207" s="16">
        <f t="shared" si="38"/>
        <v>650309.58000000007</v>
      </c>
      <c r="L207" s="2">
        <v>5</v>
      </c>
      <c r="M207" s="642"/>
    </row>
    <row r="208" spans="1:13" s="2" customFormat="1" x14ac:dyDescent="0.25">
      <c r="A208" s="25"/>
      <c r="B208" s="278" t="s">
        <v>66</v>
      </c>
      <c r="C208" s="12">
        <f t="shared" ref="C208:K208" si="39">C9+C16+C24+C119+C123+C163</f>
        <v>7646259.2600000007</v>
      </c>
      <c r="D208" s="12">
        <f t="shared" si="39"/>
        <v>7646259.2600000007</v>
      </c>
      <c r="E208" s="12">
        <f t="shared" si="39"/>
        <v>5796234.9329559999</v>
      </c>
      <c r="F208" s="12">
        <f t="shared" si="39"/>
        <v>377380.19050000003</v>
      </c>
      <c r="G208" s="12">
        <f t="shared" si="39"/>
        <v>1472644.1365439999</v>
      </c>
      <c r="H208" s="12">
        <f t="shared" si="39"/>
        <v>6868676.0099999998</v>
      </c>
      <c r="I208" s="12">
        <f t="shared" si="39"/>
        <v>5063027.0199999996</v>
      </c>
      <c r="J208" s="12">
        <f t="shared" si="39"/>
        <v>343433.8</v>
      </c>
      <c r="K208" s="16">
        <f t="shared" si="39"/>
        <v>1462215.19</v>
      </c>
      <c r="L208" s="2">
        <v>5</v>
      </c>
      <c r="M208" s="642"/>
    </row>
    <row r="209" spans="1:13" s="2" customFormat="1" x14ac:dyDescent="0.25">
      <c r="A209" s="25"/>
      <c r="B209" s="278" t="s">
        <v>555</v>
      </c>
      <c r="C209" s="12">
        <f t="shared" ref="C209:K209" si="40">C13+C20+C25+C28+C31+C34+C39+C50+C53+C57+C60+C63+C80+C85+C93+C99+C109+C112+C116+C126+C128+C131+C133+C136+C139+C142+C149+C151+C154+C158+C164+C173+C178+C181+C184+C186+C190+C193+C197+C200</f>
        <v>180388018.86999997</v>
      </c>
      <c r="D209" s="12">
        <f t="shared" si="40"/>
        <v>180388018.86999997</v>
      </c>
      <c r="E209" s="12">
        <f t="shared" si="40"/>
        <v>134915920.92270377</v>
      </c>
      <c r="F209" s="12">
        <f t="shared" si="40"/>
        <v>9019400.9430000018</v>
      </c>
      <c r="G209" s="12">
        <f t="shared" si="40"/>
        <v>36452697.004296206</v>
      </c>
      <c r="H209" s="12">
        <f t="shared" si="40"/>
        <v>177684258.86999997</v>
      </c>
      <c r="I209" s="12">
        <f t="shared" si="40"/>
        <v>132844405.75000001</v>
      </c>
      <c r="J209" s="12">
        <f t="shared" si="40"/>
        <v>8884212.8600000031</v>
      </c>
      <c r="K209" s="16">
        <f t="shared" si="40"/>
        <v>35955640.260000005</v>
      </c>
      <c r="L209" s="2">
        <v>35</v>
      </c>
      <c r="M209" s="642"/>
    </row>
    <row r="210" spans="1:13" s="2" customFormat="1" x14ac:dyDescent="0.25">
      <c r="A210" s="25"/>
      <c r="B210" s="278" t="s">
        <v>557</v>
      </c>
      <c r="C210" s="12">
        <f t="shared" ref="C210:K210" si="41">C35+C45+C64+C68+C72+C76+C81+C88+C94+C101+C105+C146+C159+C165+C169+C174+C187+C194</f>
        <v>0</v>
      </c>
      <c r="D210" s="12">
        <f t="shared" si="41"/>
        <v>0</v>
      </c>
      <c r="E210" s="12">
        <f t="shared" si="41"/>
        <v>0</v>
      </c>
      <c r="F210" s="12">
        <f t="shared" si="41"/>
        <v>0</v>
      </c>
      <c r="G210" s="12">
        <f t="shared" si="41"/>
        <v>0</v>
      </c>
      <c r="H210" s="12">
        <f t="shared" si="41"/>
        <v>0</v>
      </c>
      <c r="I210" s="12">
        <f t="shared" si="41"/>
        <v>0</v>
      </c>
      <c r="J210" s="12">
        <f t="shared" si="41"/>
        <v>0</v>
      </c>
      <c r="K210" s="16">
        <f t="shared" si="41"/>
        <v>0</v>
      </c>
      <c r="M210" s="642"/>
    </row>
    <row r="211" spans="1:13" s="2" customFormat="1" x14ac:dyDescent="0.25">
      <c r="A211" s="25"/>
      <c r="B211" s="278" t="s">
        <v>564</v>
      </c>
      <c r="C211" s="12">
        <f t="shared" ref="C211:K211" si="42">C46</f>
        <v>1761601.94</v>
      </c>
      <c r="D211" s="12">
        <f t="shared" si="42"/>
        <v>1761601.9400000002</v>
      </c>
      <c r="E211" s="12">
        <f t="shared" si="42"/>
        <v>1410630.28</v>
      </c>
      <c r="F211" s="12">
        <f t="shared" si="42"/>
        <v>88080.11</v>
      </c>
      <c r="G211" s="12">
        <f t="shared" si="42"/>
        <v>262891.55</v>
      </c>
      <c r="H211" s="12">
        <f t="shared" si="42"/>
        <v>0</v>
      </c>
      <c r="I211" s="12">
        <f t="shared" si="42"/>
        <v>0</v>
      </c>
      <c r="J211" s="12">
        <f t="shared" si="42"/>
        <v>0</v>
      </c>
      <c r="K211" s="16">
        <f t="shared" si="42"/>
        <v>0</v>
      </c>
      <c r="M211" s="642"/>
    </row>
    <row r="212" spans="1:13" s="2" customFormat="1" x14ac:dyDescent="0.25">
      <c r="A212" s="25"/>
      <c r="B212" s="278" t="s">
        <v>561</v>
      </c>
      <c r="C212" s="12">
        <f t="shared" ref="C212:K212" si="43">C10+C17</f>
        <v>6406198.9500000002</v>
      </c>
      <c r="D212" s="12">
        <f t="shared" si="43"/>
        <v>6406198.9500000002</v>
      </c>
      <c r="E212" s="12">
        <f t="shared" si="43"/>
        <v>4712399.9476200007</v>
      </c>
      <c r="F212" s="12">
        <f t="shared" si="43"/>
        <v>320309.94750000001</v>
      </c>
      <c r="G212" s="12">
        <f t="shared" si="43"/>
        <v>1373489.05488</v>
      </c>
      <c r="H212" s="12">
        <f t="shared" si="43"/>
        <v>6406198.9499999993</v>
      </c>
      <c r="I212" s="12">
        <f t="shared" si="43"/>
        <v>4727485.13</v>
      </c>
      <c r="J212" s="12">
        <f t="shared" si="43"/>
        <v>320309.95</v>
      </c>
      <c r="K212" s="16">
        <f t="shared" si="43"/>
        <v>1358403.87</v>
      </c>
      <c r="L212" s="2">
        <v>2</v>
      </c>
      <c r="M212" s="642"/>
    </row>
    <row r="213" spans="1:13" s="2" customFormat="1" x14ac:dyDescent="0.25">
      <c r="A213" s="25"/>
      <c r="B213" s="278" t="s">
        <v>554</v>
      </c>
      <c r="C213" s="12">
        <f>C36+C47+C54+C65+C69+C73+C77+C82+C89+C95+C102+C106+C113+C160+C166+C170+C175</f>
        <v>0</v>
      </c>
      <c r="D213" s="12">
        <f t="shared" ref="D213:K213" si="44">D36+D47+D54+D65+D69+D73+D77+D82+D89+D95+D102+D106+D113+D160+D166+D170+D175</f>
        <v>0</v>
      </c>
      <c r="E213" s="12">
        <f t="shared" si="44"/>
        <v>0</v>
      </c>
      <c r="F213" s="12">
        <f t="shared" si="44"/>
        <v>0</v>
      </c>
      <c r="G213" s="12">
        <f t="shared" si="44"/>
        <v>0</v>
      </c>
      <c r="H213" s="12">
        <f t="shared" si="44"/>
        <v>0</v>
      </c>
      <c r="I213" s="12">
        <f t="shared" si="44"/>
        <v>0</v>
      </c>
      <c r="J213" s="12">
        <f t="shared" si="44"/>
        <v>0</v>
      </c>
      <c r="K213" s="12">
        <f t="shared" si="44"/>
        <v>0</v>
      </c>
      <c r="M213" s="642"/>
    </row>
    <row r="214" spans="1:13" s="2" customFormat="1" x14ac:dyDescent="0.25">
      <c r="A214" s="25"/>
      <c r="B214" s="281" t="s">
        <v>67</v>
      </c>
      <c r="C214" s="12">
        <f t="shared" ref="C214:K214" si="45">C11+C14+C18+C21+C26+C29+C32+C37+C43+C48+C51+C55+C58+C61+C66+C70+C74+C78+C83+C86+C90+C96+C97+C103+C107+C110+C114+C117+C120+C124+C129+C134+C137+C140+C143+C147+C152+C161+C167+C171+C176+C179+C182+C188+C191+C195+C198+C201+C202</f>
        <v>5890198.6900000013</v>
      </c>
      <c r="D214" s="12">
        <f t="shared" si="45"/>
        <v>5890198.6900000013</v>
      </c>
      <c r="E214" s="12">
        <f t="shared" si="45"/>
        <v>4092204.6624759999</v>
      </c>
      <c r="F214" s="12">
        <f t="shared" si="45"/>
        <v>291269.88050000003</v>
      </c>
      <c r="G214" s="12">
        <f t="shared" si="45"/>
        <v>1506724.1470240001</v>
      </c>
      <c r="H214" s="12">
        <f t="shared" si="45"/>
        <v>5890198.6900000013</v>
      </c>
      <c r="I214" s="12">
        <f t="shared" si="45"/>
        <v>4095076.2200000007</v>
      </c>
      <c r="J214" s="12">
        <f t="shared" si="45"/>
        <v>291269.88000000012</v>
      </c>
      <c r="K214" s="12">
        <f t="shared" si="45"/>
        <v>1503852.5899999996</v>
      </c>
      <c r="L214" s="2">
        <v>47</v>
      </c>
      <c r="M214" s="642"/>
    </row>
    <row r="215" spans="1:13" s="9" customFormat="1" thickBot="1" x14ac:dyDescent="0.25">
      <c r="A215" s="293"/>
      <c r="B215" s="282" t="s">
        <v>625</v>
      </c>
      <c r="C215" s="18">
        <f t="shared" ref="C215:K215" si="46">SUM(C205:C214)</f>
        <v>222358960.20999995</v>
      </c>
      <c r="D215" s="18">
        <f t="shared" si="46"/>
        <v>222358960.20999995</v>
      </c>
      <c r="E215" s="18">
        <f t="shared" si="46"/>
        <v>167356490.16263828</v>
      </c>
      <c r="F215" s="18">
        <f t="shared" si="46"/>
        <v>11113015.244500002</v>
      </c>
      <c r="G215" s="18">
        <f t="shared" si="46"/>
        <v>43889454.802861705</v>
      </c>
      <c r="H215" s="18">
        <f t="shared" si="46"/>
        <v>206618041.38999996</v>
      </c>
      <c r="I215" s="18">
        <f t="shared" si="46"/>
        <v>154093685.63</v>
      </c>
      <c r="J215" s="18">
        <f t="shared" si="46"/>
        <v>10327661.940000003</v>
      </c>
      <c r="K215" s="19">
        <f t="shared" si="46"/>
        <v>42196693.82</v>
      </c>
      <c r="M215" s="652"/>
    </row>
    <row r="216" spans="1:13" x14ac:dyDescent="0.25">
      <c r="A216" s="169"/>
      <c r="C216" s="96">
        <f t="shared" ref="C216:K216" si="47">C6</f>
        <v>222358960.21000001</v>
      </c>
      <c r="D216" s="96">
        <f t="shared" si="47"/>
        <v>222358960.21000001</v>
      </c>
      <c r="E216" s="96">
        <f t="shared" si="47"/>
        <v>167356490.16263831</v>
      </c>
      <c r="F216" s="96">
        <f t="shared" si="47"/>
        <v>11113015.244499998</v>
      </c>
      <c r="G216" s="96">
        <f t="shared" si="47"/>
        <v>43889454.802861698</v>
      </c>
      <c r="H216" s="96">
        <f t="shared" si="47"/>
        <v>206618041.38999999</v>
      </c>
      <c r="I216" s="96">
        <f t="shared" si="47"/>
        <v>154093685.63</v>
      </c>
      <c r="J216" s="96">
        <f t="shared" si="47"/>
        <v>10327661.939999999</v>
      </c>
      <c r="K216" s="96">
        <f t="shared" si="47"/>
        <v>42196693.820000008</v>
      </c>
    </row>
    <row r="217" spans="1:13" x14ac:dyDescent="0.25">
      <c r="A217" s="169"/>
      <c r="B217" s="96" t="s">
        <v>627</v>
      </c>
      <c r="C217" s="96">
        <f t="shared" ref="C217:K217" si="48">C215-C216</f>
        <v>0</v>
      </c>
      <c r="D217" s="96">
        <f t="shared" si="48"/>
        <v>0</v>
      </c>
      <c r="E217" s="96">
        <f t="shared" si="48"/>
        <v>0</v>
      </c>
      <c r="F217" s="96">
        <f t="shared" si="48"/>
        <v>0</v>
      </c>
      <c r="G217" s="96">
        <f t="shared" si="48"/>
        <v>0</v>
      </c>
      <c r="H217" s="96">
        <f t="shared" si="48"/>
        <v>0</v>
      </c>
      <c r="I217" s="96">
        <f t="shared" si="48"/>
        <v>0</v>
      </c>
      <c r="J217" s="96">
        <f t="shared" si="48"/>
        <v>0</v>
      </c>
      <c r="K217" s="96">
        <f t="shared" si="48"/>
        <v>0</v>
      </c>
    </row>
  </sheetData>
  <autoFilter ref="A6:M202"/>
  <mergeCells count="11">
    <mergeCell ref="L156:L157"/>
    <mergeCell ref="L23:L25"/>
    <mergeCell ref="L16:L17"/>
    <mergeCell ref="A1:L3"/>
    <mergeCell ref="D4:G4"/>
    <mergeCell ref="H4:K4"/>
    <mergeCell ref="L4:L5"/>
    <mergeCell ref="B4:B5"/>
    <mergeCell ref="A4:A5"/>
    <mergeCell ref="L8:L10"/>
    <mergeCell ref="C4:C5"/>
  </mergeCells>
  <pageMargins left="0.23622047244094491" right="0.23622047244094491" top="0.74803149606299213" bottom="0.74803149606299213" header="0.31496062992125984" footer="0.31496062992125984"/>
  <pageSetup paperSize="9" scale="52" fitToWidth="2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5"/>
  </sheetPr>
  <dimension ref="A1:L79"/>
  <sheetViews>
    <sheetView view="pageBreakPreview" zoomScale="75" zoomScaleNormal="70" zoomScaleSheetLayoutView="75" workbookViewId="0">
      <selection sqref="A1:L3"/>
    </sheetView>
  </sheetViews>
  <sheetFormatPr defaultColWidth="9.140625" defaultRowHeight="15" outlineLevelRow="1" x14ac:dyDescent="0.25"/>
  <cols>
    <col min="1" max="1" width="4.28515625" style="25" customWidth="1"/>
    <col min="2" max="2" width="40.7109375" style="2" customWidth="1"/>
    <col min="3" max="3" width="15" style="2" customWidth="1"/>
    <col min="4" max="4" width="14.7109375" style="2" bestFit="1" customWidth="1"/>
    <col min="5" max="5" width="14.42578125" style="2" customWidth="1"/>
    <col min="6" max="6" width="13.28515625" style="2" customWidth="1"/>
    <col min="7" max="7" width="16.140625" style="2" customWidth="1"/>
    <col min="8" max="8" width="14.7109375" style="2" bestFit="1" customWidth="1"/>
    <col min="9" max="9" width="13.7109375" style="2" customWidth="1"/>
    <col min="10" max="10" width="13.85546875" style="2" customWidth="1"/>
    <col min="11" max="11" width="15.7109375" style="2" customWidth="1"/>
    <col min="12" max="12" width="24" style="2" customWidth="1"/>
    <col min="13" max="13" width="11.140625" style="2" customWidth="1"/>
    <col min="14" max="16384" width="9.140625" style="2"/>
  </cols>
  <sheetData>
    <row r="1" spans="1:12" x14ac:dyDescent="0.25">
      <c r="A1" s="777" t="s">
        <v>881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</row>
    <row r="3" spans="1:12" ht="15.7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</row>
    <row r="4" spans="1:12" s="5" customFormat="1" ht="32.25" customHeight="1" x14ac:dyDescent="0.25">
      <c r="A4" s="744" t="s">
        <v>0</v>
      </c>
      <c r="B4" s="761" t="s">
        <v>1</v>
      </c>
      <c r="C4" s="729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</row>
    <row r="5" spans="1:12" s="5" customFormat="1" ht="52.5" customHeight="1" x14ac:dyDescent="0.25">
      <c r="A5" s="745"/>
      <c r="B5" s="762"/>
      <c r="C5" s="730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</row>
    <row r="6" spans="1:12" s="5" customFormat="1" ht="27.75" customHeight="1" x14ac:dyDescent="0.25">
      <c r="A6" s="797" t="s">
        <v>14</v>
      </c>
      <c r="B6" s="798"/>
      <c r="C6" s="93">
        <f>C7+C15+C23+C31+C39+C47+C55+C59+C63+C67</f>
        <v>1275968.4199999997</v>
      </c>
      <c r="D6" s="13">
        <f>E6+F6+G6</f>
        <v>1275968.42</v>
      </c>
      <c r="E6" s="22">
        <f>E7+E15+E23+E31+E39+E47+E55+E59+E63+E67</f>
        <v>1143114.5881095999</v>
      </c>
      <c r="F6" s="22">
        <f>F7+F15+F23+F31+F39+F47+F55+F59+F63+F67</f>
        <v>63798.421000000002</v>
      </c>
      <c r="G6" s="33">
        <f>G7+G15+G23+G31+G39+G47+G55+G59+G63+G67</f>
        <v>69055.410890400031</v>
      </c>
      <c r="H6" s="13">
        <f>I6+J6+K6</f>
        <v>1275968.42</v>
      </c>
      <c r="I6" s="24">
        <f>I7+I15+I23+I31+I39+I47+I55+I59+I63+I67</f>
        <v>1143114.5900000001</v>
      </c>
      <c r="J6" s="24">
        <f>J7+J15+J23+J31+J39+J47+J55+J59+J63+J67</f>
        <v>63798.42</v>
      </c>
      <c r="K6" s="34">
        <f>K7+K15+K23+K31+K39+K47+K55+K59+K63+K67</f>
        <v>69055.41</v>
      </c>
      <c r="L6" s="139"/>
    </row>
    <row r="7" spans="1:12" s="54" customFormat="1" ht="32.25" customHeight="1" x14ac:dyDescent="0.25">
      <c r="A7" s="140">
        <v>1</v>
      </c>
      <c r="B7" s="60" t="s">
        <v>183</v>
      </c>
      <c r="C7" s="21">
        <f>SUM(C8:C14)</f>
        <v>170376.12</v>
      </c>
      <c r="D7" s="21">
        <f>E7+F7+G7</f>
        <v>170376.12</v>
      </c>
      <c r="E7" s="142">
        <f>SUM(E8:E14)</f>
        <v>152636.55838559999</v>
      </c>
      <c r="F7" s="142">
        <f>SUM(F8:F14)</f>
        <v>8518.8060000000005</v>
      </c>
      <c r="G7" s="60">
        <f>SUM(G8:G14)</f>
        <v>9220.7556144000082</v>
      </c>
      <c r="H7" s="21">
        <f>I7+J7+K7</f>
        <v>170376.12</v>
      </c>
      <c r="I7" s="142">
        <f>SUM(I8:I14)</f>
        <v>152636.54999999999</v>
      </c>
      <c r="J7" s="142">
        <f>SUM(J8:J14)</f>
        <v>8518.81</v>
      </c>
      <c r="K7" s="60">
        <f>SUM(K8:K14)</f>
        <v>9220.76</v>
      </c>
      <c r="L7" s="79"/>
    </row>
    <row r="8" spans="1:12" outlineLevel="1" x14ac:dyDescent="0.25">
      <c r="A8" s="10"/>
      <c r="B8" s="32" t="s">
        <v>68</v>
      </c>
      <c r="C8" s="27"/>
      <c r="D8" s="53"/>
      <c r="E8" s="11"/>
      <c r="F8" s="11"/>
      <c r="G8" s="106"/>
      <c r="H8" s="53"/>
      <c r="I8" s="11"/>
      <c r="J8" s="11"/>
      <c r="K8" s="106"/>
      <c r="L8" s="28"/>
    </row>
    <row r="9" spans="1:12" outlineLevel="1" x14ac:dyDescent="0.25">
      <c r="A9" s="10"/>
      <c r="B9" s="32" t="s">
        <v>65</v>
      </c>
      <c r="C9" s="27"/>
      <c r="D9" s="53"/>
      <c r="E9" s="11"/>
      <c r="F9" s="11"/>
      <c r="G9" s="106"/>
      <c r="H9" s="53"/>
      <c r="I9" s="11"/>
      <c r="J9" s="11"/>
      <c r="K9" s="106"/>
      <c r="L9" s="28"/>
    </row>
    <row r="10" spans="1:12" outlineLevel="1" x14ac:dyDescent="0.25">
      <c r="A10" s="10"/>
      <c r="B10" s="32" t="s">
        <v>66</v>
      </c>
      <c r="C10" s="27"/>
      <c r="D10" s="53"/>
      <c r="E10" s="11"/>
      <c r="F10" s="11"/>
      <c r="G10" s="106"/>
      <c r="H10" s="53"/>
      <c r="I10" s="11"/>
      <c r="J10" s="11"/>
      <c r="K10" s="106"/>
      <c r="L10" s="28"/>
    </row>
    <row r="11" spans="1:12" outlineLevel="1" x14ac:dyDescent="0.25">
      <c r="A11" s="10"/>
      <c r="B11" s="32" t="s">
        <v>555</v>
      </c>
      <c r="C11" s="27"/>
      <c r="D11" s="53"/>
      <c r="E11" s="11"/>
      <c r="F11" s="11"/>
      <c r="G11" s="106"/>
      <c r="H11" s="53"/>
      <c r="I11" s="11"/>
      <c r="J11" s="11"/>
      <c r="K11" s="106"/>
      <c r="L11" s="28"/>
    </row>
    <row r="12" spans="1:12" outlineLevel="1" x14ac:dyDescent="0.25">
      <c r="A12" s="10"/>
      <c r="B12" s="32" t="s">
        <v>557</v>
      </c>
      <c r="C12" s="27"/>
      <c r="D12" s="53"/>
      <c r="E12" s="11"/>
      <c r="F12" s="11"/>
      <c r="G12" s="106"/>
      <c r="H12" s="53"/>
      <c r="I12" s="11"/>
      <c r="J12" s="11"/>
      <c r="K12" s="106"/>
      <c r="L12" s="28"/>
    </row>
    <row r="13" spans="1:12" outlineLevel="1" x14ac:dyDescent="0.25">
      <c r="A13" s="10"/>
      <c r="B13" s="32" t="s">
        <v>554</v>
      </c>
      <c r="C13" s="27"/>
      <c r="D13" s="53"/>
      <c r="E13" s="11"/>
      <c r="F13" s="11"/>
      <c r="G13" s="106"/>
      <c r="H13" s="53"/>
      <c r="I13" s="11"/>
      <c r="J13" s="11"/>
      <c r="K13" s="106"/>
      <c r="L13" s="28"/>
    </row>
    <row r="14" spans="1:12" s="91" customFormat="1" outlineLevel="1" x14ac:dyDescent="0.25">
      <c r="A14" s="260"/>
      <c r="B14" s="569" t="s">
        <v>67</v>
      </c>
      <c r="C14" s="270">
        <v>170376.12</v>
      </c>
      <c r="D14" s="316">
        <f>E14+F14+G14</f>
        <v>170376.12</v>
      </c>
      <c r="E14" s="257">
        <f>C14*0.89588</f>
        <v>152636.55838559999</v>
      </c>
      <c r="F14" s="257">
        <f>C14*0.05</f>
        <v>8518.8060000000005</v>
      </c>
      <c r="G14" s="269">
        <f>C14-E14-F14</f>
        <v>9220.7556144000082</v>
      </c>
      <c r="H14" s="316">
        <f>I14+J14+K14</f>
        <v>170376.12</v>
      </c>
      <c r="I14" s="257">
        <v>152636.54999999999</v>
      </c>
      <c r="J14" s="257">
        <v>8518.81</v>
      </c>
      <c r="K14" s="269">
        <v>9220.76</v>
      </c>
      <c r="L14" s="271" t="s">
        <v>746</v>
      </c>
    </row>
    <row r="15" spans="1:12" s="54" customFormat="1" ht="27" customHeight="1" x14ac:dyDescent="0.25">
      <c r="A15" s="140">
        <v>2</v>
      </c>
      <c r="B15" s="60" t="s">
        <v>184</v>
      </c>
      <c r="C15" s="63">
        <f>SUM(C16:C22)</f>
        <v>161211.22</v>
      </c>
      <c r="D15" s="274">
        <f>E15+F15+G15</f>
        <v>161211.21999999997</v>
      </c>
      <c r="E15" s="75">
        <f>SUM(E16:E22)</f>
        <v>144425.90777359999</v>
      </c>
      <c r="F15" s="75">
        <f>SUM(F16:F22)</f>
        <v>8060.5610000000006</v>
      </c>
      <c r="G15" s="80">
        <f>SUM(G16:G22)</f>
        <v>8724.7512264000106</v>
      </c>
      <c r="H15" s="274">
        <f>I15+J15+K15</f>
        <v>161211.22</v>
      </c>
      <c r="I15" s="75">
        <f>SUM(I16:I22)</f>
        <v>144425.91</v>
      </c>
      <c r="J15" s="75">
        <f>SUM(J16:J22)</f>
        <v>8060.56</v>
      </c>
      <c r="K15" s="80">
        <f>SUM(K16:K22)</f>
        <v>8724.75</v>
      </c>
      <c r="L15" s="79"/>
    </row>
    <row r="16" spans="1:12" s="56" customFormat="1" outlineLevel="1" x14ac:dyDescent="0.25">
      <c r="A16" s="10"/>
      <c r="B16" s="32" t="s">
        <v>68</v>
      </c>
      <c r="C16" s="47"/>
      <c r="D16" s="42"/>
      <c r="E16" s="72"/>
      <c r="F16" s="72"/>
      <c r="G16" s="92"/>
      <c r="H16" s="42"/>
      <c r="I16" s="72"/>
      <c r="J16" s="72"/>
      <c r="K16" s="92"/>
      <c r="L16" s="57"/>
    </row>
    <row r="17" spans="1:12" s="56" customFormat="1" outlineLevel="1" x14ac:dyDescent="0.25">
      <c r="A17" s="10"/>
      <c r="B17" s="32" t="s">
        <v>65</v>
      </c>
      <c r="C17" s="47"/>
      <c r="D17" s="42"/>
      <c r="E17" s="72"/>
      <c r="F17" s="72"/>
      <c r="G17" s="92"/>
      <c r="H17" s="42"/>
      <c r="I17" s="72"/>
      <c r="J17" s="72"/>
      <c r="K17" s="92"/>
      <c r="L17" s="57"/>
    </row>
    <row r="18" spans="1:12" s="56" customFormat="1" outlineLevel="1" x14ac:dyDescent="0.25">
      <c r="A18" s="10"/>
      <c r="B18" s="32" t="s">
        <v>66</v>
      </c>
      <c r="C18" s="47"/>
      <c r="D18" s="42"/>
      <c r="E18" s="72"/>
      <c r="F18" s="72"/>
      <c r="G18" s="92"/>
      <c r="H18" s="42"/>
      <c r="I18" s="72"/>
      <c r="J18" s="72"/>
      <c r="K18" s="92"/>
      <c r="L18" s="57"/>
    </row>
    <row r="19" spans="1:12" s="56" customFormat="1" outlineLevel="1" x14ac:dyDescent="0.25">
      <c r="A19" s="10"/>
      <c r="B19" s="32" t="s">
        <v>555</v>
      </c>
      <c r="C19" s="47"/>
      <c r="D19" s="42"/>
      <c r="E19" s="72"/>
      <c r="F19" s="72"/>
      <c r="G19" s="92"/>
      <c r="H19" s="42"/>
      <c r="I19" s="72"/>
      <c r="J19" s="72"/>
      <c r="K19" s="92"/>
      <c r="L19" s="57"/>
    </row>
    <row r="20" spans="1:12" s="56" customFormat="1" outlineLevel="1" x14ac:dyDescent="0.25">
      <c r="A20" s="10"/>
      <c r="B20" s="32" t="s">
        <v>557</v>
      </c>
      <c r="C20" s="47"/>
      <c r="D20" s="42"/>
      <c r="E20" s="72"/>
      <c r="F20" s="72"/>
      <c r="G20" s="92"/>
      <c r="H20" s="42"/>
      <c r="I20" s="72"/>
      <c r="J20" s="72"/>
      <c r="K20" s="92"/>
      <c r="L20" s="57"/>
    </row>
    <row r="21" spans="1:12" s="56" customFormat="1" outlineLevel="1" x14ac:dyDescent="0.25">
      <c r="A21" s="10"/>
      <c r="B21" s="32" t="s">
        <v>554</v>
      </c>
      <c r="C21" s="47"/>
      <c r="D21" s="42"/>
      <c r="E21" s="72"/>
      <c r="F21" s="72"/>
      <c r="G21" s="92"/>
      <c r="H21" s="42"/>
      <c r="I21" s="72"/>
      <c r="J21" s="72"/>
      <c r="K21" s="92"/>
      <c r="L21" s="57"/>
    </row>
    <row r="22" spans="1:12" s="359" customFormat="1" outlineLevel="1" x14ac:dyDescent="0.25">
      <c r="A22" s="260"/>
      <c r="B22" s="569" t="s">
        <v>67</v>
      </c>
      <c r="C22" s="252">
        <v>161211.22</v>
      </c>
      <c r="D22" s="316">
        <f>E22+F22+G22</f>
        <v>161211.21999999997</v>
      </c>
      <c r="E22" s="257">
        <f>C22*0.89588</f>
        <v>144425.90777359999</v>
      </c>
      <c r="F22" s="257">
        <f>C22*0.05</f>
        <v>8060.5610000000006</v>
      </c>
      <c r="G22" s="269">
        <f>C22-E22-F22</f>
        <v>8724.7512264000106</v>
      </c>
      <c r="H22" s="249">
        <f>I22+J22+K22</f>
        <v>161211.22</v>
      </c>
      <c r="I22" s="250">
        <v>144425.91</v>
      </c>
      <c r="J22" s="250">
        <v>8060.56</v>
      </c>
      <c r="K22" s="251">
        <v>8724.75</v>
      </c>
      <c r="L22" s="271" t="s">
        <v>746</v>
      </c>
    </row>
    <row r="23" spans="1:12" s="54" customFormat="1" ht="29.25" customHeight="1" x14ac:dyDescent="0.25">
      <c r="A23" s="140">
        <v>3</v>
      </c>
      <c r="B23" s="60" t="s">
        <v>185</v>
      </c>
      <c r="C23" s="63">
        <f>SUM(C24:C30)</f>
        <v>178651.19</v>
      </c>
      <c r="D23" s="274">
        <f>E23+F23+G23</f>
        <v>178651.19</v>
      </c>
      <c r="E23" s="75">
        <f>SUM(E24:E30)</f>
        <v>160050.0280972</v>
      </c>
      <c r="F23" s="75">
        <f>SUM(F24:F30)</f>
        <v>8932.5595000000012</v>
      </c>
      <c r="G23" s="80">
        <f>SUM(G24:G30)</f>
        <v>9668.6024027999974</v>
      </c>
      <c r="H23" s="274">
        <f>I23+J23+K23</f>
        <v>178651.19</v>
      </c>
      <c r="I23" s="75">
        <f>SUM(I24:I30)</f>
        <v>160050.03</v>
      </c>
      <c r="J23" s="75">
        <f>SUM(J24:J30)</f>
        <v>8932.56</v>
      </c>
      <c r="K23" s="80">
        <f>SUM(K24:K30)</f>
        <v>9668.6</v>
      </c>
      <c r="L23" s="79"/>
    </row>
    <row r="24" spans="1:12" s="56" customFormat="1" outlineLevel="1" x14ac:dyDescent="0.25">
      <c r="A24" s="10"/>
      <c r="B24" s="32" t="s">
        <v>68</v>
      </c>
      <c r="C24" s="47"/>
      <c r="D24" s="42"/>
      <c r="E24" s="72"/>
      <c r="F24" s="72"/>
      <c r="G24" s="92"/>
      <c r="H24" s="42"/>
      <c r="I24" s="72"/>
      <c r="J24" s="72"/>
      <c r="K24" s="92"/>
      <c r="L24" s="57"/>
    </row>
    <row r="25" spans="1:12" s="56" customFormat="1" outlineLevel="1" x14ac:dyDescent="0.25">
      <c r="A25" s="10"/>
      <c r="B25" s="32" t="s">
        <v>65</v>
      </c>
      <c r="C25" s="47"/>
      <c r="D25" s="42"/>
      <c r="E25" s="72"/>
      <c r="F25" s="72"/>
      <c r="G25" s="92"/>
      <c r="H25" s="42"/>
      <c r="I25" s="72"/>
      <c r="J25" s="72"/>
      <c r="K25" s="92"/>
      <c r="L25" s="57"/>
    </row>
    <row r="26" spans="1:12" s="56" customFormat="1" outlineLevel="1" x14ac:dyDescent="0.25">
      <c r="A26" s="10"/>
      <c r="B26" s="32" t="s">
        <v>66</v>
      </c>
      <c r="C26" s="47"/>
      <c r="D26" s="42"/>
      <c r="E26" s="72"/>
      <c r="F26" s="72"/>
      <c r="G26" s="92"/>
      <c r="H26" s="42"/>
      <c r="I26" s="72"/>
      <c r="J26" s="72"/>
      <c r="K26" s="92"/>
      <c r="L26" s="57"/>
    </row>
    <row r="27" spans="1:12" s="56" customFormat="1" outlineLevel="1" x14ac:dyDescent="0.25">
      <c r="A27" s="10"/>
      <c r="B27" s="32" t="s">
        <v>555</v>
      </c>
      <c r="C27" s="47"/>
      <c r="D27" s="42"/>
      <c r="E27" s="72"/>
      <c r="F27" s="72"/>
      <c r="G27" s="92"/>
      <c r="H27" s="42"/>
      <c r="I27" s="72"/>
      <c r="J27" s="72"/>
      <c r="K27" s="92"/>
      <c r="L27" s="57"/>
    </row>
    <row r="28" spans="1:12" s="56" customFormat="1" outlineLevel="1" x14ac:dyDescent="0.25">
      <c r="A28" s="10"/>
      <c r="B28" s="32" t="s">
        <v>557</v>
      </c>
      <c r="C28" s="47"/>
      <c r="D28" s="42"/>
      <c r="E28" s="72"/>
      <c r="F28" s="72"/>
      <c r="G28" s="92"/>
      <c r="H28" s="42"/>
      <c r="I28" s="72"/>
      <c r="J28" s="72"/>
      <c r="K28" s="92"/>
      <c r="L28" s="57"/>
    </row>
    <row r="29" spans="1:12" s="56" customFormat="1" outlineLevel="1" x14ac:dyDescent="0.25">
      <c r="A29" s="10"/>
      <c r="B29" s="32" t="s">
        <v>554</v>
      </c>
      <c r="C29" s="47"/>
      <c r="D29" s="42"/>
      <c r="E29" s="72"/>
      <c r="F29" s="72"/>
      <c r="G29" s="92"/>
      <c r="H29" s="42"/>
      <c r="I29" s="72"/>
      <c r="J29" s="72"/>
      <c r="K29" s="92"/>
      <c r="L29" s="57"/>
    </row>
    <row r="30" spans="1:12" s="359" customFormat="1" outlineLevel="1" x14ac:dyDescent="0.25">
      <c r="A30" s="260"/>
      <c r="B30" s="569" t="s">
        <v>67</v>
      </c>
      <c r="C30" s="252">
        <v>178651.19</v>
      </c>
      <c r="D30" s="316">
        <f>E30+F30+G30</f>
        <v>178651.19</v>
      </c>
      <c r="E30" s="257">
        <f>C30*0.89588</f>
        <v>160050.0280972</v>
      </c>
      <c r="F30" s="257">
        <f>C30*0.05</f>
        <v>8932.5595000000012</v>
      </c>
      <c r="G30" s="269">
        <f>C30-E30-F30</f>
        <v>9668.6024027999974</v>
      </c>
      <c r="H30" s="249">
        <f>I30+J30+K30</f>
        <v>178651.19</v>
      </c>
      <c r="I30" s="250">
        <v>160050.03</v>
      </c>
      <c r="J30" s="250">
        <v>8932.56</v>
      </c>
      <c r="K30" s="251">
        <v>9668.6</v>
      </c>
      <c r="L30" s="271" t="s">
        <v>746</v>
      </c>
    </row>
    <row r="31" spans="1:12" s="54" customFormat="1" ht="29.25" customHeight="1" x14ac:dyDescent="0.25">
      <c r="A31" s="140">
        <v>4</v>
      </c>
      <c r="B31" s="60" t="s">
        <v>186</v>
      </c>
      <c r="C31" s="63">
        <f>SUM(C32:C38)</f>
        <v>170531.82</v>
      </c>
      <c r="D31" s="40">
        <f>E31+F31+G31</f>
        <v>170531.82</v>
      </c>
      <c r="E31" s="75">
        <f>SUM(E32:E38)</f>
        <v>152776.0469016</v>
      </c>
      <c r="F31" s="75">
        <f>SUM(F32:F38)</f>
        <v>8526.5910000000003</v>
      </c>
      <c r="G31" s="80">
        <f>SUM(G32:G38)</f>
        <v>9229.1820984000078</v>
      </c>
      <c r="H31" s="40">
        <f>I31+J31+K31</f>
        <v>170531.81999999998</v>
      </c>
      <c r="I31" s="75">
        <f>SUM(I32:I38)</f>
        <v>152776.04999999999</v>
      </c>
      <c r="J31" s="75">
        <f>SUM(J32:J38)</f>
        <v>8526.59</v>
      </c>
      <c r="K31" s="80">
        <f>SUM(K32:K38)</f>
        <v>9229.18</v>
      </c>
      <c r="L31" s="79"/>
    </row>
    <row r="32" spans="1:12" s="56" customFormat="1" outlineLevel="1" x14ac:dyDescent="0.25">
      <c r="A32" s="10"/>
      <c r="B32" s="32" t="s">
        <v>68</v>
      </c>
      <c r="C32" s="47"/>
      <c r="D32" s="42"/>
      <c r="E32" s="72"/>
      <c r="F32" s="72"/>
      <c r="G32" s="92"/>
      <c r="H32" s="42"/>
      <c r="I32" s="72"/>
      <c r="J32" s="72"/>
      <c r="K32" s="92"/>
      <c r="L32" s="57"/>
    </row>
    <row r="33" spans="1:12" s="56" customFormat="1" outlineLevel="1" x14ac:dyDescent="0.25">
      <c r="A33" s="10"/>
      <c r="B33" s="32" t="s">
        <v>65</v>
      </c>
      <c r="C33" s="47"/>
      <c r="D33" s="42"/>
      <c r="E33" s="72"/>
      <c r="F33" s="72"/>
      <c r="G33" s="92"/>
      <c r="H33" s="42"/>
      <c r="I33" s="72"/>
      <c r="J33" s="72"/>
      <c r="K33" s="92"/>
      <c r="L33" s="57"/>
    </row>
    <row r="34" spans="1:12" s="56" customFormat="1" outlineLevel="1" x14ac:dyDescent="0.25">
      <c r="A34" s="10"/>
      <c r="B34" s="32" t="s">
        <v>66</v>
      </c>
      <c r="C34" s="47"/>
      <c r="D34" s="42"/>
      <c r="E34" s="72"/>
      <c r="F34" s="72"/>
      <c r="G34" s="92"/>
      <c r="H34" s="42"/>
      <c r="I34" s="72"/>
      <c r="J34" s="72"/>
      <c r="K34" s="92"/>
      <c r="L34" s="57"/>
    </row>
    <row r="35" spans="1:12" s="56" customFormat="1" outlineLevel="1" x14ac:dyDescent="0.25">
      <c r="A35" s="10"/>
      <c r="B35" s="32" t="s">
        <v>555</v>
      </c>
      <c r="C35" s="47"/>
      <c r="D35" s="42"/>
      <c r="E35" s="72"/>
      <c r="F35" s="72"/>
      <c r="G35" s="92"/>
      <c r="H35" s="42"/>
      <c r="I35" s="72"/>
      <c r="J35" s="72"/>
      <c r="K35" s="92"/>
      <c r="L35" s="57"/>
    </row>
    <row r="36" spans="1:12" s="56" customFormat="1" outlineLevel="1" x14ac:dyDescent="0.25">
      <c r="A36" s="10"/>
      <c r="B36" s="32" t="s">
        <v>557</v>
      </c>
      <c r="C36" s="47"/>
      <c r="D36" s="42"/>
      <c r="E36" s="72"/>
      <c r="F36" s="72"/>
      <c r="G36" s="92"/>
      <c r="H36" s="42"/>
      <c r="I36" s="72"/>
      <c r="J36" s="72"/>
      <c r="K36" s="92"/>
      <c r="L36" s="57"/>
    </row>
    <row r="37" spans="1:12" s="56" customFormat="1" outlineLevel="1" x14ac:dyDescent="0.25">
      <c r="A37" s="10"/>
      <c r="B37" s="32" t="s">
        <v>554</v>
      </c>
      <c r="C37" s="47"/>
      <c r="D37" s="42"/>
      <c r="E37" s="72"/>
      <c r="F37" s="72"/>
      <c r="G37" s="92"/>
      <c r="H37" s="42"/>
      <c r="I37" s="72"/>
      <c r="J37" s="72"/>
      <c r="K37" s="92"/>
      <c r="L37" s="57"/>
    </row>
    <row r="38" spans="1:12" s="359" customFormat="1" outlineLevel="1" x14ac:dyDescent="0.25">
      <c r="A38" s="260"/>
      <c r="B38" s="569" t="s">
        <v>67</v>
      </c>
      <c r="C38" s="252">
        <v>170531.82</v>
      </c>
      <c r="D38" s="316">
        <f>E38+F38+G38</f>
        <v>170531.82</v>
      </c>
      <c r="E38" s="257">
        <f>C38*0.89588</f>
        <v>152776.0469016</v>
      </c>
      <c r="F38" s="257">
        <f>C38*0.05</f>
        <v>8526.5910000000003</v>
      </c>
      <c r="G38" s="269">
        <f>C38-E38-F38</f>
        <v>9229.1820984000078</v>
      </c>
      <c r="H38" s="249">
        <f>I38+J38+K38</f>
        <v>170531.81999999998</v>
      </c>
      <c r="I38" s="250">
        <v>152776.04999999999</v>
      </c>
      <c r="J38" s="250">
        <v>8526.59</v>
      </c>
      <c r="K38" s="251">
        <v>9229.18</v>
      </c>
      <c r="L38" s="271" t="s">
        <v>746</v>
      </c>
    </row>
    <row r="39" spans="1:12" s="54" customFormat="1" ht="26.25" customHeight="1" x14ac:dyDescent="0.25">
      <c r="A39" s="140">
        <v>5</v>
      </c>
      <c r="B39" s="60" t="s">
        <v>187</v>
      </c>
      <c r="C39" s="63">
        <f>SUM(C40:C46)</f>
        <v>160588.37</v>
      </c>
      <c r="D39" s="40">
        <f>E39+F39+G39</f>
        <v>160588.37</v>
      </c>
      <c r="E39" s="75">
        <f>SUM(E40:E46)</f>
        <v>143867.90891560001</v>
      </c>
      <c r="F39" s="75">
        <f>SUM(F40:F46)</f>
        <v>8029.4184999999998</v>
      </c>
      <c r="G39" s="80">
        <f>SUM(G40:G46)</f>
        <v>8691.0425843999838</v>
      </c>
      <c r="H39" s="40">
        <f>I39+J39+K39</f>
        <v>160588.37000000002</v>
      </c>
      <c r="I39" s="75">
        <f>SUM(I40:I46)</f>
        <v>143867.91</v>
      </c>
      <c r="J39" s="75">
        <f>SUM(J40:J46)</f>
        <v>8029.42</v>
      </c>
      <c r="K39" s="80">
        <f>SUM(K40:K46)</f>
        <v>8691.0400000000009</v>
      </c>
      <c r="L39" s="79"/>
    </row>
    <row r="40" spans="1:12" s="56" customFormat="1" outlineLevel="1" x14ac:dyDescent="0.25">
      <c r="A40" s="10"/>
      <c r="B40" s="32" t="s">
        <v>68</v>
      </c>
      <c r="C40" s="47"/>
      <c r="D40" s="42"/>
      <c r="E40" s="72"/>
      <c r="F40" s="72"/>
      <c r="G40" s="92"/>
      <c r="H40" s="42"/>
      <c r="I40" s="72"/>
      <c r="J40" s="72"/>
      <c r="K40" s="92"/>
      <c r="L40" s="57"/>
    </row>
    <row r="41" spans="1:12" s="56" customFormat="1" outlineLevel="1" x14ac:dyDescent="0.25">
      <c r="A41" s="10"/>
      <c r="B41" s="32" t="s">
        <v>65</v>
      </c>
      <c r="C41" s="47"/>
      <c r="D41" s="42"/>
      <c r="E41" s="72"/>
      <c r="F41" s="72"/>
      <c r="G41" s="92"/>
      <c r="H41" s="42"/>
      <c r="I41" s="72"/>
      <c r="J41" s="72"/>
      <c r="K41" s="92"/>
      <c r="L41" s="57"/>
    </row>
    <row r="42" spans="1:12" s="56" customFormat="1" outlineLevel="1" x14ac:dyDescent="0.25">
      <c r="A42" s="10"/>
      <c r="B42" s="32" t="s">
        <v>66</v>
      </c>
      <c r="C42" s="47"/>
      <c r="D42" s="42"/>
      <c r="E42" s="72"/>
      <c r="F42" s="72"/>
      <c r="G42" s="92"/>
      <c r="H42" s="42"/>
      <c r="I42" s="72"/>
      <c r="J42" s="72"/>
      <c r="K42" s="92"/>
      <c r="L42" s="57"/>
    </row>
    <row r="43" spans="1:12" s="56" customFormat="1" outlineLevel="1" x14ac:dyDescent="0.25">
      <c r="A43" s="10"/>
      <c r="B43" s="32" t="s">
        <v>555</v>
      </c>
      <c r="C43" s="47"/>
      <c r="D43" s="42"/>
      <c r="E43" s="72"/>
      <c r="F43" s="72"/>
      <c r="G43" s="92"/>
      <c r="H43" s="42"/>
      <c r="I43" s="72"/>
      <c r="J43" s="72"/>
      <c r="K43" s="92"/>
      <c r="L43" s="57"/>
    </row>
    <row r="44" spans="1:12" s="56" customFormat="1" outlineLevel="1" x14ac:dyDescent="0.25">
      <c r="A44" s="10"/>
      <c r="B44" s="32" t="s">
        <v>557</v>
      </c>
      <c r="C44" s="47"/>
      <c r="D44" s="42"/>
      <c r="E44" s="72"/>
      <c r="F44" s="72"/>
      <c r="G44" s="92"/>
      <c r="H44" s="42"/>
      <c r="I44" s="72"/>
      <c r="J44" s="72"/>
      <c r="K44" s="92"/>
      <c r="L44" s="57"/>
    </row>
    <row r="45" spans="1:12" s="56" customFormat="1" outlineLevel="1" x14ac:dyDescent="0.25">
      <c r="A45" s="10"/>
      <c r="B45" s="32" t="s">
        <v>554</v>
      </c>
      <c r="C45" s="47"/>
      <c r="D45" s="42"/>
      <c r="E45" s="72"/>
      <c r="F45" s="72"/>
      <c r="G45" s="92"/>
      <c r="H45" s="42"/>
      <c r="I45" s="72"/>
      <c r="J45" s="72"/>
      <c r="K45" s="92"/>
      <c r="L45" s="57"/>
    </row>
    <row r="46" spans="1:12" s="359" customFormat="1" outlineLevel="1" x14ac:dyDescent="0.25">
      <c r="A46" s="260"/>
      <c r="B46" s="569" t="s">
        <v>67</v>
      </c>
      <c r="C46" s="252">
        <v>160588.37</v>
      </c>
      <c r="D46" s="316">
        <f>E46+F46+G46</f>
        <v>160588.37</v>
      </c>
      <c r="E46" s="257">
        <f>C46*0.89588</f>
        <v>143867.90891560001</v>
      </c>
      <c r="F46" s="257">
        <f>C46*0.05</f>
        <v>8029.4184999999998</v>
      </c>
      <c r="G46" s="269">
        <f>C46-E46-F46</f>
        <v>8691.0425843999838</v>
      </c>
      <c r="H46" s="249">
        <f>I46+J46+K46</f>
        <v>160588.37000000002</v>
      </c>
      <c r="I46" s="250">
        <v>143867.91</v>
      </c>
      <c r="J46" s="250">
        <v>8029.42</v>
      </c>
      <c r="K46" s="251">
        <v>8691.0400000000009</v>
      </c>
      <c r="L46" s="271" t="s">
        <v>746</v>
      </c>
    </row>
    <row r="47" spans="1:12" s="54" customFormat="1" ht="39" customHeight="1" x14ac:dyDescent="0.25">
      <c r="A47" s="140">
        <v>6</v>
      </c>
      <c r="B47" s="60" t="s">
        <v>188</v>
      </c>
      <c r="C47" s="63">
        <f>SUM(C48:C54)</f>
        <v>160299.19</v>
      </c>
      <c r="D47" s="40">
        <f>E47+F47+G47</f>
        <v>160299.19</v>
      </c>
      <c r="E47" s="75">
        <f>SUM(E48:E54)</f>
        <v>143608.8383372</v>
      </c>
      <c r="F47" s="75">
        <f>SUM(F48:F54)</f>
        <v>8014.9595000000008</v>
      </c>
      <c r="G47" s="80">
        <f>SUM(G48:G54)</f>
        <v>8675.3921628000062</v>
      </c>
      <c r="H47" s="40">
        <f>I47+J47+K47</f>
        <v>160299.19</v>
      </c>
      <c r="I47" s="75">
        <f>SUM(I48:I54)</f>
        <v>143608.84</v>
      </c>
      <c r="J47" s="75">
        <f>SUM(J48:J54)</f>
        <v>8014.96</v>
      </c>
      <c r="K47" s="80">
        <f>SUM(K48:K54)</f>
        <v>8675.39</v>
      </c>
      <c r="L47" s="79"/>
    </row>
    <row r="48" spans="1:12" s="56" customFormat="1" outlineLevel="1" x14ac:dyDescent="0.25">
      <c r="A48" s="10"/>
      <c r="B48" s="32" t="s">
        <v>68</v>
      </c>
      <c r="C48" s="47"/>
      <c r="D48" s="42"/>
      <c r="E48" s="72"/>
      <c r="F48" s="72"/>
      <c r="G48" s="92"/>
      <c r="H48" s="42"/>
      <c r="I48" s="72"/>
      <c r="J48" s="72"/>
      <c r="K48" s="92"/>
      <c r="L48" s="57"/>
    </row>
    <row r="49" spans="1:12" s="56" customFormat="1" outlineLevel="1" x14ac:dyDescent="0.25">
      <c r="A49" s="10"/>
      <c r="B49" s="32" t="s">
        <v>65</v>
      </c>
      <c r="C49" s="47"/>
      <c r="D49" s="42"/>
      <c r="E49" s="72"/>
      <c r="F49" s="72"/>
      <c r="G49" s="92"/>
      <c r="H49" s="42"/>
      <c r="I49" s="72"/>
      <c r="J49" s="72"/>
      <c r="K49" s="92"/>
      <c r="L49" s="57"/>
    </row>
    <row r="50" spans="1:12" s="56" customFormat="1" outlineLevel="1" x14ac:dyDescent="0.25">
      <c r="A50" s="10"/>
      <c r="B50" s="32" t="s">
        <v>66</v>
      </c>
      <c r="C50" s="47"/>
      <c r="D50" s="42"/>
      <c r="E50" s="72"/>
      <c r="F50" s="72"/>
      <c r="G50" s="92"/>
      <c r="H50" s="42"/>
      <c r="I50" s="72"/>
      <c r="J50" s="72"/>
      <c r="K50" s="92"/>
      <c r="L50" s="57"/>
    </row>
    <row r="51" spans="1:12" s="56" customFormat="1" outlineLevel="1" x14ac:dyDescent="0.25">
      <c r="A51" s="10"/>
      <c r="B51" s="32" t="s">
        <v>555</v>
      </c>
      <c r="C51" s="47"/>
      <c r="D51" s="42"/>
      <c r="E51" s="72"/>
      <c r="F51" s="72"/>
      <c r="G51" s="92"/>
      <c r="H51" s="42"/>
      <c r="I51" s="72"/>
      <c r="J51" s="72"/>
      <c r="K51" s="92"/>
      <c r="L51" s="57"/>
    </row>
    <row r="52" spans="1:12" s="56" customFormat="1" outlineLevel="1" x14ac:dyDescent="0.25">
      <c r="A52" s="10"/>
      <c r="B52" s="32" t="s">
        <v>557</v>
      </c>
      <c r="C52" s="47"/>
      <c r="D52" s="42"/>
      <c r="E52" s="72"/>
      <c r="F52" s="72"/>
      <c r="G52" s="92"/>
      <c r="H52" s="42"/>
      <c r="I52" s="72"/>
      <c r="J52" s="72"/>
      <c r="K52" s="92"/>
      <c r="L52" s="57"/>
    </row>
    <row r="53" spans="1:12" s="56" customFormat="1" outlineLevel="1" x14ac:dyDescent="0.25">
      <c r="A53" s="10"/>
      <c r="B53" s="32" t="s">
        <v>554</v>
      </c>
      <c r="C53" s="47"/>
      <c r="D53" s="42"/>
      <c r="E53" s="72"/>
      <c r="F53" s="72"/>
      <c r="G53" s="92"/>
      <c r="H53" s="42"/>
      <c r="I53" s="72"/>
      <c r="J53" s="72"/>
      <c r="K53" s="92"/>
      <c r="L53" s="57"/>
    </row>
    <row r="54" spans="1:12" s="359" customFormat="1" outlineLevel="1" x14ac:dyDescent="0.25">
      <c r="A54" s="260"/>
      <c r="B54" s="569" t="s">
        <v>67</v>
      </c>
      <c r="C54" s="252">
        <v>160299.19</v>
      </c>
      <c r="D54" s="316">
        <f>E54+F54+G54</f>
        <v>160299.19</v>
      </c>
      <c r="E54" s="257">
        <f>C54*0.89588</f>
        <v>143608.8383372</v>
      </c>
      <c r="F54" s="257">
        <f>C54*0.05</f>
        <v>8014.9595000000008</v>
      </c>
      <c r="G54" s="269">
        <f>C54-E54-F54</f>
        <v>8675.3921628000062</v>
      </c>
      <c r="H54" s="249">
        <f>I54+J54+K54</f>
        <v>160299.19</v>
      </c>
      <c r="I54" s="250">
        <v>143608.84</v>
      </c>
      <c r="J54" s="250">
        <v>8014.96</v>
      </c>
      <c r="K54" s="251">
        <v>8675.39</v>
      </c>
      <c r="L54" s="271" t="s">
        <v>746</v>
      </c>
    </row>
    <row r="55" spans="1:12" s="54" customFormat="1" ht="26.25" customHeight="1" x14ac:dyDescent="0.25">
      <c r="A55" s="140">
        <v>7</v>
      </c>
      <c r="B55" s="60" t="s">
        <v>565</v>
      </c>
      <c r="C55" s="63">
        <f>SUM(C56:C58)</f>
        <v>56123.19</v>
      </c>
      <c r="D55" s="40">
        <f>E55+F55+G55</f>
        <v>56123.19</v>
      </c>
      <c r="E55" s="75">
        <f>SUM(E56:E58)</f>
        <v>50279.6434572</v>
      </c>
      <c r="F55" s="75">
        <f>SUM(F56:F58)</f>
        <v>2806.1595000000002</v>
      </c>
      <c r="G55" s="80">
        <f>SUM(G56:G58)</f>
        <v>3037.3870428000023</v>
      </c>
      <c r="H55" s="40">
        <f>I55+J55+K55</f>
        <v>56123.19</v>
      </c>
      <c r="I55" s="75">
        <f>SUM(I56:I58)</f>
        <v>50279.64</v>
      </c>
      <c r="J55" s="75">
        <f>SUM(J56:J58)</f>
        <v>2806.16</v>
      </c>
      <c r="K55" s="80">
        <f>SUM(K56:K58)</f>
        <v>3037.39</v>
      </c>
      <c r="L55" s="79"/>
    </row>
    <row r="56" spans="1:12" s="56" customFormat="1" outlineLevel="1" x14ac:dyDescent="0.25">
      <c r="A56" s="10"/>
      <c r="B56" s="43" t="s">
        <v>65</v>
      </c>
      <c r="C56" s="47"/>
      <c r="D56" s="42"/>
      <c r="E56" s="72"/>
      <c r="F56" s="72"/>
      <c r="G56" s="92"/>
      <c r="H56" s="42"/>
      <c r="I56" s="72"/>
      <c r="J56" s="72"/>
      <c r="K56" s="92"/>
      <c r="L56" s="57"/>
    </row>
    <row r="57" spans="1:12" s="56" customFormat="1" outlineLevel="1" x14ac:dyDescent="0.25">
      <c r="A57" s="10"/>
      <c r="B57" s="43" t="s">
        <v>554</v>
      </c>
      <c r="C57" s="47"/>
      <c r="D57" s="42"/>
      <c r="E57" s="72"/>
      <c r="F57" s="72"/>
      <c r="G57" s="92"/>
      <c r="H57" s="42"/>
      <c r="I57" s="72"/>
      <c r="J57" s="72"/>
      <c r="K57" s="92"/>
      <c r="L57" s="57"/>
    </row>
    <row r="58" spans="1:12" s="359" customFormat="1" outlineLevel="1" x14ac:dyDescent="0.25">
      <c r="A58" s="260"/>
      <c r="B58" s="569" t="s">
        <v>67</v>
      </c>
      <c r="C58" s="252">
        <v>56123.19</v>
      </c>
      <c r="D58" s="316">
        <f>E58+F58+G58</f>
        <v>56123.19</v>
      </c>
      <c r="E58" s="257">
        <f>C58*0.89588</f>
        <v>50279.6434572</v>
      </c>
      <c r="F58" s="257">
        <f>C58*0.05</f>
        <v>2806.1595000000002</v>
      </c>
      <c r="G58" s="269">
        <f>C58-E58-F58</f>
        <v>3037.3870428000023</v>
      </c>
      <c r="H58" s="249">
        <f>I58+J58+K58</f>
        <v>56123.19</v>
      </c>
      <c r="I58" s="250">
        <v>50279.64</v>
      </c>
      <c r="J58" s="250">
        <v>2806.16</v>
      </c>
      <c r="K58" s="251">
        <v>3037.39</v>
      </c>
      <c r="L58" s="271" t="s">
        <v>746</v>
      </c>
    </row>
    <row r="59" spans="1:12" s="54" customFormat="1" ht="36.75" customHeight="1" x14ac:dyDescent="0.25">
      <c r="A59" s="140">
        <v>8</v>
      </c>
      <c r="B59" s="60" t="s">
        <v>566</v>
      </c>
      <c r="C59" s="63">
        <f>SUM(C60:C62)</f>
        <v>109093.66</v>
      </c>
      <c r="D59" s="40">
        <f>E59+F59+G59</f>
        <v>109093.66</v>
      </c>
      <c r="E59" s="75">
        <f>SUM(E60:E62)</f>
        <v>97734.828120799997</v>
      </c>
      <c r="F59" s="75">
        <f>SUM(F60:F62)</f>
        <v>5454.6830000000009</v>
      </c>
      <c r="G59" s="80">
        <f>SUM(G60:G62)</f>
        <v>5904.1488792000055</v>
      </c>
      <c r="H59" s="40">
        <f>I59+J59+K59</f>
        <v>109093.66</v>
      </c>
      <c r="I59" s="75">
        <f>SUM(I60:I62)</f>
        <v>97734.83</v>
      </c>
      <c r="J59" s="75">
        <f>SUM(J60:J62)</f>
        <v>5454.68</v>
      </c>
      <c r="K59" s="80">
        <f>SUM(K60:K62)</f>
        <v>5904.15</v>
      </c>
      <c r="L59" s="79"/>
    </row>
    <row r="60" spans="1:12" s="56" customFormat="1" outlineLevel="1" x14ac:dyDescent="0.25">
      <c r="A60" s="10"/>
      <c r="B60" s="43" t="s">
        <v>555</v>
      </c>
      <c r="C60" s="47"/>
      <c r="D60" s="42"/>
      <c r="E60" s="72"/>
      <c r="F60" s="72"/>
      <c r="G60" s="92"/>
      <c r="H60" s="42"/>
      <c r="I60" s="72"/>
      <c r="J60" s="72"/>
      <c r="K60" s="92"/>
      <c r="L60" s="57"/>
    </row>
    <row r="61" spans="1:12" s="56" customFormat="1" outlineLevel="1" x14ac:dyDescent="0.25">
      <c r="A61" s="10"/>
      <c r="B61" s="43" t="s">
        <v>554</v>
      </c>
      <c r="C61" s="47"/>
      <c r="D61" s="42"/>
      <c r="E61" s="72"/>
      <c r="F61" s="72"/>
      <c r="G61" s="92"/>
      <c r="H61" s="42"/>
      <c r="I61" s="72"/>
      <c r="J61" s="72"/>
      <c r="K61" s="92"/>
      <c r="L61" s="57"/>
    </row>
    <row r="62" spans="1:12" s="359" customFormat="1" outlineLevel="1" x14ac:dyDescent="0.25">
      <c r="A62" s="260"/>
      <c r="B62" s="569" t="s">
        <v>67</v>
      </c>
      <c r="C62" s="252">
        <v>109093.66</v>
      </c>
      <c r="D62" s="316">
        <f>E62+F62+G62</f>
        <v>109093.66</v>
      </c>
      <c r="E62" s="257">
        <f>C62*0.89588</f>
        <v>97734.828120799997</v>
      </c>
      <c r="F62" s="257">
        <f>C62*0.05</f>
        <v>5454.6830000000009</v>
      </c>
      <c r="G62" s="269">
        <f>C62-E62-F62</f>
        <v>5904.1488792000055</v>
      </c>
      <c r="H62" s="249">
        <f>I62+J62+K62</f>
        <v>109093.66</v>
      </c>
      <c r="I62" s="250">
        <v>97734.83</v>
      </c>
      <c r="J62" s="250">
        <v>5454.68</v>
      </c>
      <c r="K62" s="251">
        <v>5904.15</v>
      </c>
      <c r="L62" s="271" t="s">
        <v>746</v>
      </c>
    </row>
    <row r="63" spans="1:12" s="54" customFormat="1" ht="33" customHeight="1" x14ac:dyDescent="0.25">
      <c r="A63" s="140">
        <v>9</v>
      </c>
      <c r="B63" s="60" t="s">
        <v>567</v>
      </c>
      <c r="C63" s="63">
        <f>SUM(C64:C66)</f>
        <v>109093.66</v>
      </c>
      <c r="D63" s="40">
        <f>E63+F63+G63</f>
        <v>109093.66</v>
      </c>
      <c r="E63" s="75">
        <f>SUM(E64:E66)</f>
        <v>97734.828120799997</v>
      </c>
      <c r="F63" s="75">
        <f>SUM(F64:F66)</f>
        <v>5454.6830000000009</v>
      </c>
      <c r="G63" s="80">
        <f>SUM(G64:G66)</f>
        <v>5904.1488792000055</v>
      </c>
      <c r="H63" s="40">
        <f>I63+J63+K63</f>
        <v>109093.66</v>
      </c>
      <c r="I63" s="75">
        <f>SUM(I64:I66)</f>
        <v>97734.83</v>
      </c>
      <c r="J63" s="75">
        <f>SUM(J64:J66)</f>
        <v>5454.68</v>
      </c>
      <c r="K63" s="80">
        <f>SUM(K64:K66)</f>
        <v>5904.15</v>
      </c>
      <c r="L63" s="79"/>
    </row>
    <row r="64" spans="1:12" s="56" customFormat="1" outlineLevel="1" x14ac:dyDescent="0.25">
      <c r="A64" s="10"/>
      <c r="B64" s="43" t="s">
        <v>555</v>
      </c>
      <c r="C64" s="47"/>
      <c r="D64" s="42"/>
      <c r="E64" s="72"/>
      <c r="F64" s="72"/>
      <c r="G64" s="92"/>
      <c r="H64" s="42"/>
      <c r="I64" s="72"/>
      <c r="J64" s="72"/>
      <c r="K64" s="92"/>
      <c r="L64" s="57"/>
    </row>
    <row r="65" spans="1:12" s="56" customFormat="1" outlineLevel="1" x14ac:dyDescent="0.25">
      <c r="A65" s="10"/>
      <c r="B65" s="43" t="s">
        <v>554</v>
      </c>
      <c r="C65" s="47"/>
      <c r="D65" s="42"/>
      <c r="E65" s="72"/>
      <c r="F65" s="72"/>
      <c r="G65" s="92"/>
      <c r="H65" s="42"/>
      <c r="I65" s="72"/>
      <c r="J65" s="72"/>
      <c r="K65" s="92"/>
      <c r="L65" s="57"/>
    </row>
    <row r="66" spans="1:12" s="359" customFormat="1" outlineLevel="1" x14ac:dyDescent="0.25">
      <c r="A66" s="260"/>
      <c r="B66" s="569" t="s">
        <v>67</v>
      </c>
      <c r="C66" s="252">
        <v>109093.66</v>
      </c>
      <c r="D66" s="316">
        <f>E66+F66+G66</f>
        <v>109093.66</v>
      </c>
      <c r="E66" s="257">
        <f>C66*0.89588</f>
        <v>97734.828120799997</v>
      </c>
      <c r="F66" s="257">
        <f>C66*0.05</f>
        <v>5454.6830000000009</v>
      </c>
      <c r="G66" s="269">
        <f>C66-E66-F66</f>
        <v>5904.1488792000055</v>
      </c>
      <c r="H66" s="249">
        <f>I66+J66+K66</f>
        <v>109093.66</v>
      </c>
      <c r="I66" s="250">
        <v>97734.83</v>
      </c>
      <c r="J66" s="250">
        <v>5454.68</v>
      </c>
      <c r="K66" s="251">
        <v>5904.15</v>
      </c>
      <c r="L66" s="271" t="s">
        <v>746</v>
      </c>
    </row>
    <row r="67" spans="1:12" s="54" customFormat="1" ht="27" customHeight="1" thickBot="1" x14ac:dyDescent="0.3">
      <c r="A67" s="126">
        <v>10</v>
      </c>
      <c r="B67" s="183" t="s">
        <v>556</v>
      </c>
      <c r="C67" s="175"/>
      <c r="D67" s="177"/>
      <c r="E67" s="137"/>
      <c r="F67" s="137"/>
      <c r="G67" s="174"/>
      <c r="H67" s="177"/>
      <c r="I67" s="137"/>
      <c r="J67" s="137"/>
      <c r="K67" s="174"/>
      <c r="L67" s="135"/>
    </row>
    <row r="69" spans="1:12" ht="15.75" thickBot="1" x14ac:dyDescent="0.3"/>
    <row r="70" spans="1:12" x14ac:dyDescent="0.25">
      <c r="B70" s="276" t="s">
        <v>68</v>
      </c>
      <c r="C70" s="279">
        <f t="shared" ref="C70:K70" si="0">C8+C16+C24+C32+C40+C48</f>
        <v>0</v>
      </c>
      <c r="D70" s="279">
        <f t="shared" si="0"/>
        <v>0</v>
      </c>
      <c r="E70" s="279">
        <f t="shared" si="0"/>
        <v>0</v>
      </c>
      <c r="F70" s="279">
        <f t="shared" si="0"/>
        <v>0</v>
      </c>
      <c r="G70" s="279">
        <f t="shared" si="0"/>
        <v>0</v>
      </c>
      <c r="H70" s="279">
        <f t="shared" si="0"/>
        <v>0</v>
      </c>
      <c r="I70" s="279">
        <f t="shared" si="0"/>
        <v>0</v>
      </c>
      <c r="J70" s="279">
        <f t="shared" si="0"/>
        <v>0</v>
      </c>
      <c r="K70" s="277">
        <f t="shared" si="0"/>
        <v>0</v>
      </c>
    </row>
    <row r="71" spans="1:12" x14ac:dyDescent="0.25">
      <c r="B71" s="278" t="s">
        <v>65</v>
      </c>
      <c r="C71" s="12">
        <f t="shared" ref="C71:K71" si="1">C9+C17+C25+C33+C41+C49+C56</f>
        <v>0</v>
      </c>
      <c r="D71" s="12">
        <f t="shared" si="1"/>
        <v>0</v>
      </c>
      <c r="E71" s="12">
        <f t="shared" si="1"/>
        <v>0</v>
      </c>
      <c r="F71" s="12">
        <f t="shared" si="1"/>
        <v>0</v>
      </c>
      <c r="G71" s="12">
        <f t="shared" si="1"/>
        <v>0</v>
      </c>
      <c r="H71" s="12">
        <f t="shared" si="1"/>
        <v>0</v>
      </c>
      <c r="I71" s="12">
        <f t="shared" si="1"/>
        <v>0</v>
      </c>
      <c r="J71" s="12">
        <f t="shared" si="1"/>
        <v>0</v>
      </c>
      <c r="K71" s="16">
        <f t="shared" si="1"/>
        <v>0</v>
      </c>
    </row>
    <row r="72" spans="1:12" x14ac:dyDescent="0.25">
      <c r="B72" s="278" t="s">
        <v>66</v>
      </c>
      <c r="C72" s="12">
        <f t="shared" ref="C72:K72" si="2">C10+C18+C26+C34+C42+C50</f>
        <v>0</v>
      </c>
      <c r="D72" s="12">
        <f t="shared" si="2"/>
        <v>0</v>
      </c>
      <c r="E72" s="12">
        <f t="shared" si="2"/>
        <v>0</v>
      </c>
      <c r="F72" s="12">
        <f t="shared" si="2"/>
        <v>0</v>
      </c>
      <c r="G72" s="12">
        <f t="shared" si="2"/>
        <v>0</v>
      </c>
      <c r="H72" s="12">
        <f t="shared" si="2"/>
        <v>0</v>
      </c>
      <c r="I72" s="12">
        <f t="shared" si="2"/>
        <v>0</v>
      </c>
      <c r="J72" s="12">
        <f t="shared" si="2"/>
        <v>0</v>
      </c>
      <c r="K72" s="16">
        <f t="shared" si="2"/>
        <v>0</v>
      </c>
    </row>
    <row r="73" spans="1:12" x14ac:dyDescent="0.25">
      <c r="B73" s="278" t="s">
        <v>555</v>
      </c>
      <c r="C73" s="12">
        <f t="shared" ref="C73:K73" si="3">C11+C19+C27+C35+C43+C51+C60+C64</f>
        <v>0</v>
      </c>
      <c r="D73" s="12">
        <f t="shared" si="3"/>
        <v>0</v>
      </c>
      <c r="E73" s="12">
        <f t="shared" si="3"/>
        <v>0</v>
      </c>
      <c r="F73" s="12">
        <f t="shared" si="3"/>
        <v>0</v>
      </c>
      <c r="G73" s="12">
        <f t="shared" si="3"/>
        <v>0</v>
      </c>
      <c r="H73" s="12">
        <f t="shared" si="3"/>
        <v>0</v>
      </c>
      <c r="I73" s="12">
        <f t="shared" si="3"/>
        <v>0</v>
      </c>
      <c r="J73" s="12">
        <f t="shared" si="3"/>
        <v>0</v>
      </c>
      <c r="K73" s="16">
        <f t="shared" si="3"/>
        <v>0</v>
      </c>
    </row>
    <row r="74" spans="1:12" x14ac:dyDescent="0.25">
      <c r="B74" s="278" t="s">
        <v>557</v>
      </c>
      <c r="C74" s="12">
        <f t="shared" ref="C74:K74" si="4">C12+C20+C28+C36+C44+C52</f>
        <v>0</v>
      </c>
      <c r="D74" s="12">
        <f t="shared" si="4"/>
        <v>0</v>
      </c>
      <c r="E74" s="12">
        <f t="shared" si="4"/>
        <v>0</v>
      </c>
      <c r="F74" s="12">
        <f t="shared" si="4"/>
        <v>0</v>
      </c>
      <c r="G74" s="12">
        <f t="shared" si="4"/>
        <v>0</v>
      </c>
      <c r="H74" s="12">
        <f t="shared" si="4"/>
        <v>0</v>
      </c>
      <c r="I74" s="12">
        <f t="shared" si="4"/>
        <v>0</v>
      </c>
      <c r="J74" s="12">
        <f t="shared" si="4"/>
        <v>0</v>
      </c>
      <c r="K74" s="16">
        <f t="shared" si="4"/>
        <v>0</v>
      </c>
    </row>
    <row r="75" spans="1:12" x14ac:dyDescent="0.25">
      <c r="B75" s="278" t="s">
        <v>554</v>
      </c>
      <c r="C75" s="12">
        <f t="shared" ref="C75:K75" si="5">C13+C21+C29+C37+C45+C53+C57+C61+C65</f>
        <v>0</v>
      </c>
      <c r="D75" s="12">
        <f t="shared" si="5"/>
        <v>0</v>
      </c>
      <c r="E75" s="12">
        <f t="shared" si="5"/>
        <v>0</v>
      </c>
      <c r="F75" s="12">
        <f t="shared" si="5"/>
        <v>0</v>
      </c>
      <c r="G75" s="12">
        <f t="shared" si="5"/>
        <v>0</v>
      </c>
      <c r="H75" s="12">
        <f t="shared" si="5"/>
        <v>0</v>
      </c>
      <c r="I75" s="12">
        <f t="shared" si="5"/>
        <v>0</v>
      </c>
      <c r="J75" s="12">
        <f t="shared" si="5"/>
        <v>0</v>
      </c>
      <c r="K75" s="16">
        <f t="shared" si="5"/>
        <v>0</v>
      </c>
    </row>
    <row r="76" spans="1:12" x14ac:dyDescent="0.25">
      <c r="B76" s="281" t="s">
        <v>67</v>
      </c>
      <c r="C76" s="12">
        <f t="shared" ref="C76:K76" si="6">C14+C22+C30+C38+C46+C54+C58+C62+C66+C67</f>
        <v>1275968.4199999997</v>
      </c>
      <c r="D76" s="12">
        <f t="shared" si="6"/>
        <v>1275968.4199999997</v>
      </c>
      <c r="E76" s="12">
        <f t="shared" si="6"/>
        <v>1143114.5881095999</v>
      </c>
      <c r="F76" s="12">
        <f t="shared" si="6"/>
        <v>63798.421000000002</v>
      </c>
      <c r="G76" s="12">
        <f t="shared" si="6"/>
        <v>69055.410890400031</v>
      </c>
      <c r="H76" s="12">
        <f t="shared" si="6"/>
        <v>1275968.4199999997</v>
      </c>
      <c r="I76" s="12">
        <f t="shared" si="6"/>
        <v>1143114.5900000001</v>
      </c>
      <c r="J76" s="12">
        <f t="shared" si="6"/>
        <v>63798.42</v>
      </c>
      <c r="K76" s="16">
        <f t="shared" si="6"/>
        <v>69055.41</v>
      </c>
      <c r="L76" s="2">
        <v>9</v>
      </c>
    </row>
    <row r="77" spans="1:12" s="9" customFormat="1" thickBot="1" x14ac:dyDescent="0.25">
      <c r="A77" s="293"/>
      <c r="B77" s="282" t="s">
        <v>625</v>
      </c>
      <c r="C77" s="18">
        <f t="shared" ref="C77:K77" si="7">SUM(C70:C76)</f>
        <v>1275968.4199999997</v>
      </c>
      <c r="D77" s="18">
        <f t="shared" si="7"/>
        <v>1275968.4199999997</v>
      </c>
      <c r="E77" s="18">
        <f t="shared" si="7"/>
        <v>1143114.5881095999</v>
      </c>
      <c r="F77" s="18">
        <f t="shared" si="7"/>
        <v>63798.421000000002</v>
      </c>
      <c r="G77" s="18">
        <f t="shared" si="7"/>
        <v>69055.410890400031</v>
      </c>
      <c r="H77" s="18">
        <f t="shared" si="7"/>
        <v>1275968.4199999997</v>
      </c>
      <c r="I77" s="18">
        <f t="shared" si="7"/>
        <v>1143114.5900000001</v>
      </c>
      <c r="J77" s="18">
        <f t="shared" si="7"/>
        <v>63798.42</v>
      </c>
      <c r="K77" s="19">
        <f t="shared" si="7"/>
        <v>69055.41</v>
      </c>
    </row>
    <row r="78" spans="1:12" s="71" customFormat="1" x14ac:dyDescent="0.25">
      <c r="A78" s="169"/>
      <c r="C78" s="96">
        <f t="shared" ref="C78:K78" si="8">C6</f>
        <v>1275968.4199999997</v>
      </c>
      <c r="D78" s="96">
        <f t="shared" si="8"/>
        <v>1275968.42</v>
      </c>
      <c r="E78" s="96">
        <f t="shared" si="8"/>
        <v>1143114.5881095999</v>
      </c>
      <c r="F78" s="96">
        <f t="shared" si="8"/>
        <v>63798.421000000002</v>
      </c>
      <c r="G78" s="96">
        <f t="shared" si="8"/>
        <v>69055.410890400031</v>
      </c>
      <c r="H78" s="96">
        <f t="shared" si="8"/>
        <v>1275968.42</v>
      </c>
      <c r="I78" s="96">
        <f t="shared" si="8"/>
        <v>1143114.5900000001</v>
      </c>
      <c r="J78" s="96">
        <f t="shared" si="8"/>
        <v>63798.42</v>
      </c>
      <c r="K78" s="96">
        <f t="shared" si="8"/>
        <v>69055.41</v>
      </c>
    </row>
    <row r="79" spans="1:12" s="71" customFormat="1" x14ac:dyDescent="0.25">
      <c r="A79" s="169"/>
      <c r="B79" s="96" t="s">
        <v>627</v>
      </c>
      <c r="C79" s="96">
        <f t="shared" ref="C79:K79" si="9">C77-C78</f>
        <v>0</v>
      </c>
      <c r="D79" s="96">
        <f t="shared" si="9"/>
        <v>0</v>
      </c>
      <c r="E79" s="96">
        <f t="shared" si="9"/>
        <v>0</v>
      </c>
      <c r="F79" s="96">
        <f t="shared" si="9"/>
        <v>0</v>
      </c>
      <c r="G79" s="96">
        <f t="shared" si="9"/>
        <v>0</v>
      </c>
      <c r="H79" s="96">
        <f t="shared" si="9"/>
        <v>0</v>
      </c>
      <c r="I79" s="96">
        <f t="shared" si="9"/>
        <v>0</v>
      </c>
      <c r="J79" s="96">
        <f t="shared" si="9"/>
        <v>0</v>
      </c>
      <c r="K79" s="96">
        <f t="shared" si="9"/>
        <v>0</v>
      </c>
    </row>
  </sheetData>
  <autoFilter ref="A7:M67"/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51" orientation="landscape" r:id="rId1"/>
  <rowBreaks count="1" manualBreakCount="1">
    <brk id="54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5"/>
  </sheetPr>
  <dimension ref="A1:M39"/>
  <sheetViews>
    <sheetView view="pageBreakPreview" zoomScale="75" zoomScaleNormal="85" zoomScaleSheetLayoutView="75" workbookViewId="0">
      <selection sqref="A1:L3"/>
    </sheetView>
  </sheetViews>
  <sheetFormatPr defaultColWidth="9.140625" defaultRowHeight="15" outlineLevelRow="1" x14ac:dyDescent="0.25"/>
  <cols>
    <col min="1" max="1" width="7.28515625" style="194" customWidth="1"/>
    <col min="2" max="2" width="40.7109375" style="96" customWidth="1"/>
    <col min="3" max="3" width="17.5703125" style="62" customWidth="1"/>
    <col min="4" max="4" width="14.85546875" style="2" customWidth="1"/>
    <col min="5" max="5" width="15.42578125" style="2" customWidth="1"/>
    <col min="6" max="6" width="14.28515625" style="2" customWidth="1"/>
    <col min="7" max="7" width="18" style="2" customWidth="1"/>
    <col min="8" max="8" width="16.85546875" style="2" customWidth="1"/>
    <col min="9" max="9" width="14" style="2" customWidth="1"/>
    <col min="10" max="10" width="13.85546875" style="2" customWidth="1"/>
    <col min="11" max="11" width="18" style="2" customWidth="1"/>
    <col min="12" max="13" width="21.140625" style="2" customWidth="1"/>
    <col min="14" max="16384" width="9.140625" style="2"/>
  </cols>
  <sheetData>
    <row r="1" spans="1:13" ht="15.75" x14ac:dyDescent="0.25">
      <c r="A1" s="777" t="s">
        <v>881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668"/>
    </row>
    <row r="2" spans="1:13" ht="15.75" x14ac:dyDescent="0.25">
      <c r="A2" s="777"/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668"/>
    </row>
    <row r="3" spans="1:13" ht="16.5" thickBot="1" x14ac:dyDescent="0.3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669"/>
    </row>
    <row r="4" spans="1:13" s="25" customFormat="1" ht="32.25" customHeight="1" x14ac:dyDescent="0.25">
      <c r="A4" s="779" t="s">
        <v>0</v>
      </c>
      <c r="B4" s="749" t="s">
        <v>1</v>
      </c>
      <c r="C4" s="800" t="s">
        <v>713</v>
      </c>
      <c r="D4" s="736" t="s">
        <v>714</v>
      </c>
      <c r="E4" s="737"/>
      <c r="F4" s="737"/>
      <c r="G4" s="739"/>
      <c r="H4" s="779" t="s">
        <v>715</v>
      </c>
      <c r="I4" s="737"/>
      <c r="J4" s="737"/>
      <c r="K4" s="739"/>
      <c r="L4" s="751" t="s">
        <v>716</v>
      </c>
      <c r="M4" s="612"/>
    </row>
    <row r="5" spans="1:13" s="25" customFormat="1" ht="52.5" customHeight="1" x14ac:dyDescent="0.25">
      <c r="A5" s="775"/>
      <c r="B5" s="781"/>
      <c r="C5" s="801"/>
      <c r="D5" s="37" t="s">
        <v>2</v>
      </c>
      <c r="E5" s="540" t="s">
        <v>3</v>
      </c>
      <c r="F5" s="540" t="s">
        <v>4</v>
      </c>
      <c r="G5" s="541" t="s">
        <v>5</v>
      </c>
      <c r="H5" s="542" t="s">
        <v>2</v>
      </c>
      <c r="I5" s="540" t="s">
        <v>3</v>
      </c>
      <c r="J5" s="540" t="s">
        <v>4</v>
      </c>
      <c r="K5" s="541" t="s">
        <v>5</v>
      </c>
      <c r="L5" s="752"/>
      <c r="M5" s="612"/>
    </row>
    <row r="6" spans="1:13" s="25" customFormat="1" ht="36.75" customHeight="1" x14ac:dyDescent="0.25">
      <c r="A6" s="775" t="s">
        <v>590</v>
      </c>
      <c r="B6" s="799"/>
      <c r="C6" s="85">
        <f>C7+C10+C13+C17+C20+C23+C28</f>
        <v>734416.16</v>
      </c>
      <c r="D6" s="13">
        <f>E6+F6+G6</f>
        <v>734416.16</v>
      </c>
      <c r="E6" s="22">
        <f>E7+E10+E13+E17+E20+E23+E28</f>
        <v>565400.01729600003</v>
      </c>
      <c r="F6" s="22">
        <f>F7+F10+F13+F17+F20+F23+F28</f>
        <v>36720.808000000005</v>
      </c>
      <c r="G6" s="33">
        <f>G7+G10+G13+G17+G20+G23+G28</f>
        <v>132295.33470400001</v>
      </c>
      <c r="H6" s="13">
        <f>I6+J6+K6</f>
        <v>734416.16</v>
      </c>
      <c r="I6" s="24">
        <f>I7+I10+I13+I17+I20+I23+I28</f>
        <v>565400.02</v>
      </c>
      <c r="J6" s="24">
        <f>J7+J10+J13+J17+J20+J23+J28</f>
        <v>36720.81</v>
      </c>
      <c r="K6" s="34">
        <f>K7+K10+K13+K17+K20+K23+K28</f>
        <v>132295.32999999999</v>
      </c>
      <c r="L6" s="538"/>
      <c r="M6" s="613"/>
    </row>
    <row r="7" spans="1:13" s="54" customFormat="1" ht="36" customHeight="1" x14ac:dyDescent="0.25">
      <c r="A7" s="184"/>
      <c r="B7" s="60" t="s">
        <v>193</v>
      </c>
      <c r="C7" s="504">
        <f>SUM(C8:C9)</f>
        <v>95282.69</v>
      </c>
      <c r="D7" s="40">
        <f t="shared" ref="D7:D28" si="0">E7+F7+G7</f>
        <v>95282.69</v>
      </c>
      <c r="E7" s="142">
        <f>SUM(E8:E9)</f>
        <v>74153.75</v>
      </c>
      <c r="F7" s="142">
        <f>SUM(F8:F9)</f>
        <v>4764.1400000000003</v>
      </c>
      <c r="G7" s="60">
        <f>SUM(G8:G9)</f>
        <v>16364.8</v>
      </c>
      <c r="H7" s="40">
        <f t="shared" ref="H7:H28" si="1">I7+J7+K7</f>
        <v>95282.69</v>
      </c>
      <c r="I7" s="142">
        <f>SUM(I8:I9)</f>
        <v>74153.75</v>
      </c>
      <c r="J7" s="142">
        <f>SUM(J8:J9)</f>
        <v>4764.1400000000003</v>
      </c>
      <c r="K7" s="60">
        <f>SUM(K8:K9)</f>
        <v>16364.8</v>
      </c>
      <c r="L7" s="544"/>
      <c r="M7" s="673"/>
    </row>
    <row r="8" spans="1:13" outlineLevel="1" x14ac:dyDescent="0.25">
      <c r="A8" s="105"/>
      <c r="B8" s="43" t="s">
        <v>555</v>
      </c>
      <c r="C8" s="296"/>
      <c r="D8" s="42">
        <f t="shared" si="0"/>
        <v>0</v>
      </c>
      <c r="E8" s="104"/>
      <c r="F8" s="104"/>
      <c r="G8" s="26"/>
      <c r="H8" s="42">
        <f t="shared" si="1"/>
        <v>0</v>
      </c>
      <c r="I8" s="104"/>
      <c r="J8" s="104"/>
      <c r="K8" s="26"/>
      <c r="L8" s="545"/>
      <c r="M8" s="601"/>
    </row>
    <row r="9" spans="1:13" s="91" customFormat="1" outlineLevel="1" x14ac:dyDescent="0.25">
      <c r="A9" s="670"/>
      <c r="B9" s="261" t="s">
        <v>67</v>
      </c>
      <c r="C9" s="505">
        <v>95282.69</v>
      </c>
      <c r="D9" s="249">
        <f t="shared" si="0"/>
        <v>95282.69</v>
      </c>
      <c r="E9" s="257">
        <v>74153.75</v>
      </c>
      <c r="F9" s="257">
        <v>4764.1400000000003</v>
      </c>
      <c r="G9" s="269">
        <v>16364.8</v>
      </c>
      <c r="H9" s="249">
        <f t="shared" si="1"/>
        <v>95282.69</v>
      </c>
      <c r="I9" s="671">
        <v>74153.75</v>
      </c>
      <c r="J9" s="671">
        <v>4764.1400000000003</v>
      </c>
      <c r="K9" s="672">
        <v>16364.8</v>
      </c>
      <c r="L9" s="550" t="s">
        <v>834</v>
      </c>
      <c r="M9" s="665">
        <v>42635</v>
      </c>
    </row>
    <row r="10" spans="1:13" s="9" customFormat="1" ht="36" customHeight="1" x14ac:dyDescent="0.2">
      <c r="A10" s="127"/>
      <c r="B10" s="60" t="s">
        <v>192</v>
      </c>
      <c r="C10" s="504">
        <f>SUM(C11:C12)</f>
        <v>94156.77</v>
      </c>
      <c r="D10" s="40">
        <f>E10+F10+G10</f>
        <v>94156.76999999999</v>
      </c>
      <c r="E10" s="75">
        <f>SUM(E11:E12)</f>
        <v>73277.5</v>
      </c>
      <c r="F10" s="75">
        <f>SUM(F11:F12)</f>
        <v>4707.84</v>
      </c>
      <c r="G10" s="80">
        <f>SUM(G11:G12)</f>
        <v>16171.43</v>
      </c>
      <c r="H10" s="40">
        <f>I10+J10+K10</f>
        <v>94156.76999999999</v>
      </c>
      <c r="I10" s="142">
        <f>SUM(I11:I12)</f>
        <v>73277.5</v>
      </c>
      <c r="J10" s="142">
        <f>SUM(J11:J12)</f>
        <v>4707.84</v>
      </c>
      <c r="K10" s="60">
        <f>SUM(K11:K12)</f>
        <v>16171.43</v>
      </c>
      <c r="L10" s="546"/>
      <c r="M10" s="616"/>
    </row>
    <row r="11" spans="1:13" outlineLevel="1" x14ac:dyDescent="0.25">
      <c r="A11" s="105"/>
      <c r="B11" s="43" t="s">
        <v>555</v>
      </c>
      <c r="C11" s="296"/>
      <c r="D11" s="105">
        <f t="shared" si="0"/>
        <v>0</v>
      </c>
      <c r="E11" s="11"/>
      <c r="F11" s="11"/>
      <c r="G11" s="106"/>
      <c r="H11" s="105">
        <f t="shared" si="1"/>
        <v>0</v>
      </c>
      <c r="I11" s="104"/>
      <c r="J11" s="104"/>
      <c r="K11" s="26"/>
      <c r="L11" s="545"/>
      <c r="M11" s="601"/>
    </row>
    <row r="12" spans="1:13" s="91" customFormat="1" outlineLevel="1" x14ac:dyDescent="0.25">
      <c r="A12" s="670"/>
      <c r="B12" s="261" t="s">
        <v>67</v>
      </c>
      <c r="C12" s="505">
        <v>94156.77</v>
      </c>
      <c r="D12" s="670">
        <f t="shared" si="0"/>
        <v>94156.76999999999</v>
      </c>
      <c r="E12" s="257">
        <v>73277.5</v>
      </c>
      <c r="F12" s="257">
        <v>4707.84</v>
      </c>
      <c r="G12" s="269">
        <v>16171.43</v>
      </c>
      <c r="H12" s="670">
        <f t="shared" si="1"/>
        <v>94156.76999999999</v>
      </c>
      <c r="I12" s="671">
        <v>73277.5</v>
      </c>
      <c r="J12" s="671">
        <v>4707.84</v>
      </c>
      <c r="K12" s="672">
        <v>16171.43</v>
      </c>
      <c r="L12" s="550" t="s">
        <v>834</v>
      </c>
      <c r="M12" s="665">
        <v>42635</v>
      </c>
    </row>
    <row r="13" spans="1:13" s="9" customFormat="1" ht="41.25" customHeight="1" x14ac:dyDescent="0.2">
      <c r="A13" s="127"/>
      <c r="B13" s="60" t="s">
        <v>189</v>
      </c>
      <c r="C13" s="504">
        <f>SUM(C14:C16)</f>
        <v>199890.39</v>
      </c>
      <c r="D13" s="40">
        <f t="shared" si="0"/>
        <v>199890.38999999998</v>
      </c>
      <c r="E13" s="75">
        <f>SUM(E14:E16)</f>
        <v>155564.69</v>
      </c>
      <c r="F13" s="75">
        <f>SUM(F14:F16)</f>
        <v>9994.52</v>
      </c>
      <c r="G13" s="80">
        <f>SUM(G14:G16)</f>
        <v>34331.18</v>
      </c>
      <c r="H13" s="637">
        <f t="shared" si="1"/>
        <v>199890.38999999998</v>
      </c>
      <c r="I13" s="677">
        <f>SUM(I14:I16)</f>
        <v>155564.69</v>
      </c>
      <c r="J13" s="677">
        <f>SUM(J14:J16)</f>
        <v>9994.52</v>
      </c>
      <c r="K13" s="676">
        <f>SUM(K14:K16)</f>
        <v>34331.18</v>
      </c>
      <c r="L13" s="546"/>
      <c r="M13" s="616"/>
    </row>
    <row r="14" spans="1:13" outlineLevel="1" x14ac:dyDescent="0.25">
      <c r="A14" s="105"/>
      <c r="B14" s="43" t="s">
        <v>555</v>
      </c>
      <c r="C14" s="296"/>
      <c r="D14" s="105">
        <f t="shared" si="0"/>
        <v>0</v>
      </c>
      <c r="E14" s="11"/>
      <c r="F14" s="11"/>
      <c r="G14" s="106"/>
      <c r="H14" s="105">
        <f t="shared" si="1"/>
        <v>0</v>
      </c>
      <c r="I14" s="104"/>
      <c r="J14" s="104"/>
      <c r="K14" s="26"/>
      <c r="L14" s="545"/>
      <c r="M14" s="601"/>
    </row>
    <row r="15" spans="1:13" outlineLevel="1" x14ac:dyDescent="0.25">
      <c r="A15" s="105"/>
      <c r="B15" s="43" t="s">
        <v>557</v>
      </c>
      <c r="C15" s="296"/>
      <c r="D15" s="105">
        <f t="shared" si="0"/>
        <v>0</v>
      </c>
      <c r="E15" s="11"/>
      <c r="F15" s="11"/>
      <c r="G15" s="106"/>
      <c r="H15" s="105">
        <f t="shared" si="1"/>
        <v>0</v>
      </c>
      <c r="I15" s="104"/>
      <c r="J15" s="104"/>
      <c r="K15" s="26"/>
      <c r="L15" s="545"/>
      <c r="M15" s="601"/>
    </row>
    <row r="16" spans="1:13" s="91" customFormat="1" outlineLevel="1" x14ac:dyDescent="0.25">
      <c r="A16" s="670"/>
      <c r="B16" s="261" t="s">
        <v>67</v>
      </c>
      <c r="C16" s="505">
        <v>199890.39</v>
      </c>
      <c r="D16" s="670">
        <f t="shared" si="0"/>
        <v>199890.38999999998</v>
      </c>
      <c r="E16" s="257">
        <v>155564.69</v>
      </c>
      <c r="F16" s="257">
        <v>9994.52</v>
      </c>
      <c r="G16" s="269">
        <v>34331.18</v>
      </c>
      <c r="H16" s="670">
        <f t="shared" si="1"/>
        <v>199890.38999999998</v>
      </c>
      <c r="I16" s="671">
        <v>155564.69</v>
      </c>
      <c r="J16" s="671">
        <v>9994.52</v>
      </c>
      <c r="K16" s="672">
        <v>34331.18</v>
      </c>
      <c r="L16" s="550" t="s">
        <v>834</v>
      </c>
      <c r="M16" s="665">
        <v>42635</v>
      </c>
    </row>
    <row r="17" spans="1:13" s="9" customFormat="1" ht="33.75" customHeight="1" x14ac:dyDescent="0.2">
      <c r="A17" s="127"/>
      <c r="B17" s="60" t="s">
        <v>190</v>
      </c>
      <c r="C17" s="504">
        <f>SUM(C18:C19)</f>
        <v>97534.080000000002</v>
      </c>
      <c r="D17" s="40">
        <f t="shared" si="0"/>
        <v>97534.079999999987</v>
      </c>
      <c r="E17" s="75">
        <f>SUM(E18:E19)</f>
        <v>75905.899999999994</v>
      </c>
      <c r="F17" s="75">
        <f>SUM(F18:F19)</f>
        <v>4876.7</v>
      </c>
      <c r="G17" s="80">
        <f>SUM(G18:G19)</f>
        <v>16751.48</v>
      </c>
      <c r="H17" s="40">
        <f t="shared" si="1"/>
        <v>97534.079999999987</v>
      </c>
      <c r="I17" s="142">
        <f>SUM(I18:I19)</f>
        <v>75905.899999999994</v>
      </c>
      <c r="J17" s="142">
        <f>SUM(J18:J19)</f>
        <v>4876.7</v>
      </c>
      <c r="K17" s="60">
        <f>SUM(K18:K19)</f>
        <v>16751.48</v>
      </c>
      <c r="L17" s="546"/>
      <c r="M17" s="616"/>
    </row>
    <row r="18" spans="1:13" outlineLevel="1" x14ac:dyDescent="0.25">
      <c r="A18" s="547"/>
      <c r="B18" s="43" t="s">
        <v>557</v>
      </c>
      <c r="C18" s="296"/>
      <c r="D18" s="105">
        <f t="shared" si="0"/>
        <v>0</v>
      </c>
      <c r="E18" s="11"/>
      <c r="F18" s="11"/>
      <c r="G18" s="106"/>
      <c r="H18" s="105">
        <f t="shared" si="1"/>
        <v>0</v>
      </c>
      <c r="I18" s="104"/>
      <c r="J18" s="104"/>
      <c r="K18" s="26"/>
      <c r="L18" s="545"/>
      <c r="M18" s="601"/>
    </row>
    <row r="19" spans="1:13" s="91" customFormat="1" outlineLevel="1" x14ac:dyDescent="0.25">
      <c r="A19" s="549"/>
      <c r="B19" s="261" t="s">
        <v>67</v>
      </c>
      <c r="C19" s="505">
        <v>97534.080000000002</v>
      </c>
      <c r="D19" s="670">
        <f t="shared" si="0"/>
        <v>97534.079999999987</v>
      </c>
      <c r="E19" s="257">
        <v>75905.899999999994</v>
      </c>
      <c r="F19" s="257">
        <v>4876.7</v>
      </c>
      <c r="G19" s="269">
        <v>16751.48</v>
      </c>
      <c r="H19" s="670">
        <f t="shared" si="1"/>
        <v>97534.079999999987</v>
      </c>
      <c r="I19" s="671">
        <v>75905.899999999994</v>
      </c>
      <c r="J19" s="671">
        <v>4876.7</v>
      </c>
      <c r="K19" s="672">
        <v>16751.48</v>
      </c>
      <c r="L19" s="550" t="s">
        <v>834</v>
      </c>
      <c r="M19" s="665">
        <v>42635</v>
      </c>
    </row>
    <row r="20" spans="1:13" s="9" customFormat="1" ht="29.25" customHeight="1" x14ac:dyDescent="0.2">
      <c r="A20" s="548"/>
      <c r="B20" s="60" t="s">
        <v>191</v>
      </c>
      <c r="C20" s="504">
        <f>SUM(C21:C22)</f>
        <v>103136.07</v>
      </c>
      <c r="D20" s="40">
        <f t="shared" si="0"/>
        <v>103136.06999999999</v>
      </c>
      <c r="E20" s="75">
        <f>SUM(E21:E22)</f>
        <v>80265.649999999994</v>
      </c>
      <c r="F20" s="75">
        <f>SUM(F21:F22)</f>
        <v>5156.8</v>
      </c>
      <c r="G20" s="80">
        <f>SUM(G21:G22)</f>
        <v>17713.62</v>
      </c>
      <c r="H20" s="40">
        <f t="shared" si="1"/>
        <v>103136.06999999999</v>
      </c>
      <c r="I20" s="142">
        <f>SUM(I21:I22)</f>
        <v>80265.649999999994</v>
      </c>
      <c r="J20" s="142">
        <f>SUM(J21:J22)</f>
        <v>5156.8</v>
      </c>
      <c r="K20" s="60">
        <f>SUM(K21:K22)</f>
        <v>17713.62</v>
      </c>
      <c r="L20" s="546"/>
      <c r="M20" s="616"/>
    </row>
    <row r="21" spans="1:13" outlineLevel="1" x14ac:dyDescent="0.25">
      <c r="A21" s="547"/>
      <c r="B21" s="43" t="s">
        <v>557</v>
      </c>
      <c r="C21" s="296"/>
      <c r="D21" s="105">
        <f t="shared" si="0"/>
        <v>0</v>
      </c>
      <c r="E21" s="11"/>
      <c r="F21" s="11"/>
      <c r="G21" s="106"/>
      <c r="H21" s="105">
        <f t="shared" si="1"/>
        <v>0</v>
      </c>
      <c r="I21" s="104"/>
      <c r="J21" s="104"/>
      <c r="K21" s="26"/>
      <c r="L21" s="545"/>
      <c r="M21" s="601"/>
    </row>
    <row r="22" spans="1:13" s="91" customFormat="1" outlineLevel="1" x14ac:dyDescent="0.25">
      <c r="A22" s="549"/>
      <c r="B22" s="261" t="s">
        <v>67</v>
      </c>
      <c r="C22" s="505">
        <v>103136.07</v>
      </c>
      <c r="D22" s="670">
        <f t="shared" si="0"/>
        <v>103136.06999999999</v>
      </c>
      <c r="E22" s="257">
        <v>80265.649999999994</v>
      </c>
      <c r="F22" s="257">
        <v>5156.8</v>
      </c>
      <c r="G22" s="269">
        <v>17713.62</v>
      </c>
      <c r="H22" s="670">
        <f t="shared" si="1"/>
        <v>103136.06999999999</v>
      </c>
      <c r="I22" s="671">
        <v>80265.649999999994</v>
      </c>
      <c r="J22" s="671">
        <v>5156.8</v>
      </c>
      <c r="K22" s="672">
        <v>17713.62</v>
      </c>
      <c r="L22" s="550" t="s">
        <v>834</v>
      </c>
      <c r="M22" s="665">
        <v>42635</v>
      </c>
    </row>
    <row r="23" spans="1:13" s="9" customFormat="1" ht="33.75" customHeight="1" x14ac:dyDescent="0.2">
      <c r="A23" s="548"/>
      <c r="B23" s="60" t="s">
        <v>568</v>
      </c>
      <c r="C23" s="361">
        <f>SUM(C24:C27)</f>
        <v>144416.16</v>
      </c>
      <c r="D23" s="563">
        <f t="shared" si="0"/>
        <v>144416.16</v>
      </c>
      <c r="E23" s="44">
        <f>SUM(E24:E27)</f>
        <v>106232.527296</v>
      </c>
      <c r="F23" s="44">
        <f>SUM(F24:F27)</f>
        <v>7220.8080000000009</v>
      </c>
      <c r="G23" s="297">
        <f>SUM(G24:G27)</f>
        <v>30962.824704000002</v>
      </c>
      <c r="H23" s="40">
        <f t="shared" si="1"/>
        <v>144416.16</v>
      </c>
      <c r="I23" s="75">
        <f>SUM(I24:I27)</f>
        <v>106232.53</v>
      </c>
      <c r="J23" s="75">
        <f>SUM(J24:J27)</f>
        <v>7220.81</v>
      </c>
      <c r="K23" s="80">
        <f>SUM(K24:K27)</f>
        <v>30962.82</v>
      </c>
      <c r="L23" s="546"/>
      <c r="M23" s="616"/>
    </row>
    <row r="24" spans="1:13" outlineLevel="1" x14ac:dyDescent="0.25">
      <c r="A24" s="547"/>
      <c r="B24" s="43" t="s">
        <v>64</v>
      </c>
      <c r="C24" s="296"/>
      <c r="D24" s="105">
        <f t="shared" si="0"/>
        <v>0</v>
      </c>
      <c r="E24" s="11"/>
      <c r="F24" s="11"/>
      <c r="G24" s="106"/>
      <c r="H24" s="53">
        <f t="shared" si="1"/>
        <v>0</v>
      </c>
      <c r="I24" s="11"/>
      <c r="J24" s="11"/>
      <c r="K24" s="106"/>
      <c r="L24" s="545"/>
      <c r="M24" s="601"/>
    </row>
    <row r="25" spans="1:13" outlineLevel="1" x14ac:dyDescent="0.25">
      <c r="A25" s="547"/>
      <c r="B25" s="43" t="s">
        <v>65</v>
      </c>
      <c r="C25" s="296"/>
      <c r="D25" s="105">
        <f t="shared" si="0"/>
        <v>0</v>
      </c>
      <c r="E25" s="11"/>
      <c r="F25" s="11"/>
      <c r="G25" s="106"/>
      <c r="H25" s="53">
        <f t="shared" si="1"/>
        <v>0</v>
      </c>
      <c r="I25" s="11"/>
      <c r="J25" s="11"/>
      <c r="K25" s="106"/>
      <c r="L25" s="545"/>
      <c r="M25" s="601"/>
    </row>
    <row r="26" spans="1:13" outlineLevel="1" x14ac:dyDescent="0.25">
      <c r="A26" s="547"/>
      <c r="B26" s="43" t="s">
        <v>66</v>
      </c>
      <c r="C26" s="296"/>
      <c r="D26" s="105">
        <f t="shared" si="0"/>
        <v>0</v>
      </c>
      <c r="E26" s="11"/>
      <c r="F26" s="11"/>
      <c r="G26" s="106"/>
      <c r="H26" s="53">
        <f t="shared" si="1"/>
        <v>0</v>
      </c>
      <c r="I26" s="11"/>
      <c r="J26" s="11"/>
      <c r="K26" s="106"/>
      <c r="L26" s="545"/>
      <c r="M26" s="601"/>
    </row>
    <row r="27" spans="1:13" s="91" customFormat="1" outlineLevel="1" x14ac:dyDescent="0.25">
      <c r="A27" s="549"/>
      <c r="B27" s="261" t="s">
        <v>67</v>
      </c>
      <c r="C27" s="505">
        <v>144416.16</v>
      </c>
      <c r="D27" s="300">
        <f t="shared" si="0"/>
        <v>144416.16</v>
      </c>
      <c r="E27" s="301">
        <f>C27*0.7356</f>
        <v>106232.527296</v>
      </c>
      <c r="F27" s="301">
        <f>C27*5%</f>
        <v>7220.8080000000009</v>
      </c>
      <c r="G27" s="248">
        <f>C27-E27-F27</f>
        <v>30962.824704000002</v>
      </c>
      <c r="H27" s="316">
        <f t="shared" si="1"/>
        <v>144416.16</v>
      </c>
      <c r="I27" s="257">
        <v>106232.53</v>
      </c>
      <c r="J27" s="257">
        <v>7220.81</v>
      </c>
      <c r="K27" s="269">
        <v>30962.82</v>
      </c>
      <c r="L27" s="550" t="s">
        <v>695</v>
      </c>
      <c r="M27" s="615"/>
    </row>
    <row r="28" spans="1:13" s="9" customFormat="1" ht="41.25" customHeight="1" thickBot="1" x14ac:dyDescent="0.25">
      <c r="A28" s="551"/>
      <c r="B28" s="183" t="s">
        <v>556</v>
      </c>
      <c r="C28" s="552"/>
      <c r="D28" s="186">
        <f t="shared" si="0"/>
        <v>0</v>
      </c>
      <c r="E28" s="187"/>
      <c r="F28" s="187"/>
      <c r="G28" s="188"/>
      <c r="H28" s="186">
        <f t="shared" si="1"/>
        <v>0</v>
      </c>
      <c r="I28" s="187"/>
      <c r="J28" s="187"/>
      <c r="K28" s="188"/>
      <c r="L28" s="553"/>
      <c r="M28" s="616"/>
    </row>
    <row r="30" spans="1:13" ht="15.75" thickBot="1" x14ac:dyDescent="0.3"/>
    <row r="31" spans="1:13" x14ac:dyDescent="0.25">
      <c r="A31" s="25"/>
      <c r="B31" s="276" t="s">
        <v>64</v>
      </c>
      <c r="C31" s="279">
        <f t="shared" ref="C31:K31" si="2">C24</f>
        <v>0</v>
      </c>
      <c r="D31" s="279">
        <f t="shared" si="2"/>
        <v>0</v>
      </c>
      <c r="E31" s="279">
        <f t="shared" si="2"/>
        <v>0</v>
      </c>
      <c r="F31" s="279">
        <f t="shared" si="2"/>
        <v>0</v>
      </c>
      <c r="G31" s="279">
        <f t="shared" si="2"/>
        <v>0</v>
      </c>
      <c r="H31" s="279">
        <f t="shared" si="2"/>
        <v>0</v>
      </c>
      <c r="I31" s="279">
        <f t="shared" si="2"/>
        <v>0</v>
      </c>
      <c r="J31" s="279">
        <f t="shared" si="2"/>
        <v>0</v>
      </c>
      <c r="K31" s="277">
        <f t="shared" si="2"/>
        <v>0</v>
      </c>
    </row>
    <row r="32" spans="1:13" x14ac:dyDescent="0.25">
      <c r="A32" s="25"/>
      <c r="B32" s="278" t="s">
        <v>65</v>
      </c>
      <c r="C32" s="12">
        <f t="shared" ref="C32:K32" si="3">C25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2">
        <f t="shared" si="3"/>
        <v>0</v>
      </c>
      <c r="J32" s="12">
        <f t="shared" si="3"/>
        <v>0</v>
      </c>
      <c r="K32" s="16">
        <f t="shared" si="3"/>
        <v>0</v>
      </c>
    </row>
    <row r="33" spans="1:12" x14ac:dyDescent="0.25">
      <c r="A33" s="25"/>
      <c r="B33" s="278" t="s">
        <v>66</v>
      </c>
      <c r="C33" s="12">
        <f t="shared" ref="C33:K33" si="4">C26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6">
        <f t="shared" si="4"/>
        <v>0</v>
      </c>
    </row>
    <row r="34" spans="1:12" x14ac:dyDescent="0.25">
      <c r="A34" s="25"/>
      <c r="B34" s="278" t="s">
        <v>555</v>
      </c>
      <c r="C34" s="12">
        <f t="shared" ref="C34:K34" si="5">C8+C11+C14</f>
        <v>0</v>
      </c>
      <c r="D34" s="12">
        <f t="shared" si="5"/>
        <v>0</v>
      </c>
      <c r="E34" s="12">
        <f t="shared" si="5"/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6">
        <f t="shared" si="5"/>
        <v>0</v>
      </c>
    </row>
    <row r="35" spans="1:12" x14ac:dyDescent="0.25">
      <c r="A35" s="25"/>
      <c r="B35" s="278" t="s">
        <v>557</v>
      </c>
      <c r="C35" s="12">
        <f t="shared" ref="C35:K35" si="6">C15+C18+C21</f>
        <v>0</v>
      </c>
      <c r="D35" s="12">
        <f t="shared" si="6"/>
        <v>0</v>
      </c>
      <c r="E35" s="12">
        <f t="shared" si="6"/>
        <v>0</v>
      </c>
      <c r="F35" s="12">
        <f t="shared" si="6"/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6">
        <f t="shared" si="6"/>
        <v>0</v>
      </c>
    </row>
    <row r="36" spans="1:12" x14ac:dyDescent="0.25">
      <c r="A36" s="25"/>
      <c r="B36" s="281" t="s">
        <v>67</v>
      </c>
      <c r="C36" s="12">
        <f t="shared" ref="C36:K36" si="7">C9+C12+C16+C19+C22+C27+C28</f>
        <v>734416.16</v>
      </c>
      <c r="D36" s="12">
        <f t="shared" si="7"/>
        <v>734416.15999999992</v>
      </c>
      <c r="E36" s="12">
        <f t="shared" si="7"/>
        <v>565400.01729600003</v>
      </c>
      <c r="F36" s="12">
        <f t="shared" si="7"/>
        <v>36720.808000000005</v>
      </c>
      <c r="G36" s="12">
        <f t="shared" si="7"/>
        <v>132295.33470400001</v>
      </c>
      <c r="H36" s="12">
        <f t="shared" si="7"/>
        <v>734416.15999999992</v>
      </c>
      <c r="I36" s="12">
        <f t="shared" si="7"/>
        <v>565400.02</v>
      </c>
      <c r="J36" s="12">
        <f t="shared" si="7"/>
        <v>36720.81</v>
      </c>
      <c r="K36" s="16">
        <f t="shared" si="7"/>
        <v>132295.32999999999</v>
      </c>
      <c r="L36" s="2">
        <v>1</v>
      </c>
    </row>
    <row r="37" spans="1:12" s="9" customFormat="1" thickBot="1" x14ac:dyDescent="0.25">
      <c r="A37" s="293"/>
      <c r="B37" s="282" t="s">
        <v>625</v>
      </c>
      <c r="C37" s="18">
        <f t="shared" ref="C37:K37" si="8">SUM(C31:C36)</f>
        <v>734416.16</v>
      </c>
      <c r="D37" s="18">
        <f t="shared" si="8"/>
        <v>734416.15999999992</v>
      </c>
      <c r="E37" s="18">
        <f t="shared" si="8"/>
        <v>565400.01729600003</v>
      </c>
      <c r="F37" s="18">
        <f t="shared" si="8"/>
        <v>36720.808000000005</v>
      </c>
      <c r="G37" s="18">
        <f t="shared" si="8"/>
        <v>132295.33470400001</v>
      </c>
      <c r="H37" s="18">
        <f t="shared" si="8"/>
        <v>734416.15999999992</v>
      </c>
      <c r="I37" s="18">
        <f t="shared" si="8"/>
        <v>565400.02</v>
      </c>
      <c r="J37" s="18">
        <f t="shared" si="8"/>
        <v>36720.81</v>
      </c>
      <c r="K37" s="19">
        <f t="shared" si="8"/>
        <v>132295.32999999999</v>
      </c>
    </row>
    <row r="38" spans="1:12" s="71" customFormat="1" x14ac:dyDescent="0.25">
      <c r="A38" s="169"/>
      <c r="C38" s="96">
        <f t="shared" ref="C38:K38" si="9">C6</f>
        <v>734416.16</v>
      </c>
      <c r="D38" s="96">
        <f t="shared" si="9"/>
        <v>734416.16</v>
      </c>
      <c r="E38" s="96">
        <f t="shared" si="9"/>
        <v>565400.01729600003</v>
      </c>
      <c r="F38" s="96">
        <f t="shared" si="9"/>
        <v>36720.808000000005</v>
      </c>
      <c r="G38" s="96">
        <f t="shared" si="9"/>
        <v>132295.33470400001</v>
      </c>
      <c r="H38" s="96">
        <f t="shared" si="9"/>
        <v>734416.16</v>
      </c>
      <c r="I38" s="96">
        <f t="shared" si="9"/>
        <v>565400.02</v>
      </c>
      <c r="J38" s="96">
        <f t="shared" si="9"/>
        <v>36720.81</v>
      </c>
      <c r="K38" s="96">
        <f t="shared" si="9"/>
        <v>132295.32999999999</v>
      </c>
    </row>
    <row r="39" spans="1:12" s="71" customFormat="1" x14ac:dyDescent="0.25">
      <c r="A39" s="169"/>
      <c r="B39" s="96" t="s">
        <v>627</v>
      </c>
      <c r="C39" s="96">
        <f t="shared" ref="C39:K39" si="10">C37-C38</f>
        <v>0</v>
      </c>
      <c r="D39" s="96">
        <f t="shared" si="10"/>
        <v>0</v>
      </c>
      <c r="E39" s="96">
        <f t="shared" si="10"/>
        <v>0</v>
      </c>
      <c r="F39" s="96">
        <f t="shared" si="10"/>
        <v>0</v>
      </c>
      <c r="G39" s="96">
        <f t="shared" si="10"/>
        <v>0</v>
      </c>
      <c r="H39" s="96">
        <f t="shared" si="10"/>
        <v>0</v>
      </c>
      <c r="I39" s="96">
        <f t="shared" si="10"/>
        <v>0</v>
      </c>
      <c r="J39" s="96">
        <f t="shared" si="10"/>
        <v>0</v>
      </c>
      <c r="K39" s="96">
        <f t="shared" si="10"/>
        <v>0</v>
      </c>
    </row>
  </sheetData>
  <autoFilter ref="A7:L28"/>
  <mergeCells count="8">
    <mergeCell ref="A6:B6"/>
    <mergeCell ref="A1:L3"/>
    <mergeCell ref="A4:A5"/>
    <mergeCell ref="B4:B5"/>
    <mergeCell ref="D4:G4"/>
    <mergeCell ref="H4:K4"/>
    <mergeCell ref="L4:L5"/>
    <mergeCell ref="C4:C5"/>
  </mergeCells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21</vt:i4>
      </vt:variant>
    </vt:vector>
  </HeadingPairs>
  <TitlesOfParts>
    <vt:vector size="43" baseType="lpstr">
      <vt:lpstr>Общий Свод</vt:lpstr>
      <vt:lpstr>Свод конструктивы</vt:lpstr>
      <vt:lpstr>Алек-Сах</vt:lpstr>
      <vt:lpstr>Анива</vt:lpstr>
      <vt:lpstr>Бошняково</vt:lpstr>
      <vt:lpstr>Долинск</vt:lpstr>
      <vt:lpstr>Корсаков</vt:lpstr>
      <vt:lpstr>Курильск</vt:lpstr>
      <vt:lpstr>Макаров</vt:lpstr>
      <vt:lpstr>Невельск</vt:lpstr>
      <vt:lpstr>Ноглики</vt:lpstr>
      <vt:lpstr>Оха</vt:lpstr>
      <vt:lpstr>Поронайск</vt:lpstr>
      <vt:lpstr>Северо-Курильск</vt:lpstr>
      <vt:lpstr>Смирных</vt:lpstr>
      <vt:lpstr>Томари</vt:lpstr>
      <vt:lpstr>Тымовск</vt:lpstr>
      <vt:lpstr>Углегорск</vt:lpstr>
      <vt:lpstr>Холмск</vt:lpstr>
      <vt:lpstr>Шахтерск</vt:lpstr>
      <vt:lpstr>Южно-Курильск</vt:lpstr>
      <vt:lpstr>Южный</vt:lpstr>
      <vt:lpstr>'Алек-Сах'!Область_печати</vt:lpstr>
      <vt:lpstr>Бошняково!Область_печати</vt:lpstr>
      <vt:lpstr>Долинск!Область_печати</vt:lpstr>
      <vt:lpstr>Корсаков!Область_печати</vt:lpstr>
      <vt:lpstr>Курильск!Область_печати</vt:lpstr>
      <vt:lpstr>Макаров!Область_печати</vt:lpstr>
      <vt:lpstr>Невельск!Область_печати</vt:lpstr>
      <vt:lpstr>Ноглики!Область_печати</vt:lpstr>
      <vt:lpstr>'Общий Свод'!Область_печати</vt:lpstr>
      <vt:lpstr>Оха!Область_печати</vt:lpstr>
      <vt:lpstr>Поронайск!Область_печати</vt:lpstr>
      <vt:lpstr>'Свод конструктивы'!Область_печати</vt:lpstr>
      <vt:lpstr>'Северо-Курильск'!Область_печати</vt:lpstr>
      <vt:lpstr>Смирных!Область_печати</vt:lpstr>
      <vt:lpstr>Томари!Область_печати</vt:lpstr>
      <vt:lpstr>Тымовск!Область_печати</vt:lpstr>
      <vt:lpstr>Углегорск!Область_печати</vt:lpstr>
      <vt:lpstr>Холмск!Область_печати</vt:lpstr>
      <vt:lpstr>Шахтерск!Область_печати</vt:lpstr>
      <vt:lpstr>'Южно-Курильск'!Область_печати</vt:lpstr>
      <vt:lpstr>Южный!Область_печати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p.loskutov</dc:creator>
  <cp:lastModifiedBy>Прядеха Юлия Юрьевна</cp:lastModifiedBy>
  <cp:lastPrinted>2016-10-18T23:32:34Z</cp:lastPrinted>
  <dcterms:created xsi:type="dcterms:W3CDTF">2015-05-22T00:32:59Z</dcterms:created>
  <dcterms:modified xsi:type="dcterms:W3CDTF">2016-10-24T22:12:31Z</dcterms:modified>
</cp:coreProperties>
</file>